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tabRatio="794" activeTab="23"/>
  </bookViews>
  <sheets>
    <sheet name="งบแสดงฐานะการเงิน" sheetId="1" r:id="rId1"/>
    <sheet name="งบทรัพย์สิน" sheetId="2" r:id="rId2"/>
    <sheet name="หมายเหตุ 3" sheetId="9" r:id="rId3"/>
    <sheet name="หมายเหตุ 4" sheetId="10" r:id="rId4"/>
    <sheet name="หมายเหตุ 5" sheetId="12" r:id="rId5"/>
    <sheet name="หมายเหตุ6ลน.เงินทุน" sheetId="14" r:id="rId6"/>
    <sheet name="หมายเหตุ 7.1ท่า" sheetId="17" r:id="rId7"/>
    <sheet name="หมายเหตุ 7.2ท่า " sheetId="49" r:id="rId8"/>
    <sheet name="หมายเหตุ 9ท่า" sheetId="23" r:id="rId9"/>
    <sheet name="รายละเอียดแนบท้ายหมายเหตุ 9" sheetId="24" r:id="rId10"/>
    <sheet name="ตามแผนงาน 1" sheetId="27" r:id="rId11"/>
    <sheet name="ตามแผนงาน 2" sheetId="25" r:id="rId12"/>
    <sheet name="ตามแผนงาน 3" sheetId="28" r:id="rId13"/>
    <sheet name="ตามแผนงาน 4" sheetId="29" r:id="rId14"/>
    <sheet name="ตามแผนงาน 5" sheetId="30" r:id="rId15"/>
    <sheet name="ตามแผนงาน 6" sheetId="32" r:id="rId16"/>
    <sheet name="ตามแผนงาน 7" sheetId="33" r:id="rId17"/>
    <sheet name="ตามแผนงาน 8" sheetId="34" r:id="rId18"/>
    <sheet name="ตามแผนงาน 9" sheetId="36" r:id="rId19"/>
    <sheet name="ตามแผนงาน 10" sheetId="38" r:id="rId20"/>
    <sheet name="ตามแผนงานรวม" sheetId="37" r:id="rId21"/>
    <sheet name="จ่ายจากเงินสะสม" sheetId="39" r:id="rId22"/>
    <sheet name="งบแสดงผลจ่ายจากเงินรายรับ" sheetId="42" r:id="rId23"/>
    <sheet name="งบแสดงผลฯเงินรายรับ เงินสะสม" sheetId="43" r:id="rId24"/>
  </sheets>
  <definedNames>
    <definedName name="_xlnm.Print_Titles" localSheetId="6">'หมายเหตุ 7.1ท่า'!$1:$7</definedName>
    <definedName name="_xlnm.Print_Titles" localSheetId="7">'หมายเหตุ 7.2ท่า '!$1:$7</definedName>
  </definedNames>
  <calcPr calcId="124519"/>
</workbook>
</file>

<file path=xl/calcChain.xml><?xml version="1.0" encoding="utf-8"?>
<calcChain xmlns="http://schemas.openxmlformats.org/spreadsheetml/2006/main">
  <c r="A1" i="24"/>
  <c r="D8" i="2" l="1"/>
  <c r="B34"/>
  <c r="F83"/>
  <c r="H54"/>
  <c r="F89"/>
  <c r="B32"/>
  <c r="B29"/>
  <c r="B23"/>
  <c r="B22"/>
  <c r="B17"/>
  <c r="F88"/>
  <c r="H55"/>
  <c r="F52" l="1"/>
  <c r="Q36" i="43"/>
  <c r="Q31"/>
  <c r="I16"/>
  <c r="O8"/>
  <c r="C8" i="42"/>
  <c r="H15" i="39"/>
  <c r="O7" i="37"/>
  <c r="H13" i="38"/>
  <c r="D9"/>
  <c r="D8"/>
  <c r="D8" i="32"/>
  <c r="D9"/>
  <c r="D7"/>
  <c r="D18" i="29"/>
  <c r="D13"/>
  <c r="D12"/>
  <c r="D9"/>
  <c r="D22"/>
  <c r="I19"/>
  <c r="D13" i="25"/>
  <c r="D12"/>
  <c r="D11"/>
  <c r="D10"/>
  <c r="D9"/>
  <c r="D8"/>
  <c r="D7"/>
  <c r="E7" i="27"/>
  <c r="H8" i="24"/>
  <c r="G8"/>
  <c r="F19" i="23"/>
  <c r="E16"/>
  <c r="F13" i="14"/>
  <c r="G33" i="49"/>
  <c r="I30" i="17"/>
  <c r="I27"/>
  <c r="I16"/>
  <c r="D20" i="12"/>
  <c r="E15"/>
  <c r="E14"/>
  <c r="E13"/>
  <c r="E12"/>
  <c r="I15"/>
  <c r="J16"/>
  <c r="H18" s="1"/>
  <c r="I18" s="1"/>
  <c r="E11"/>
  <c r="E10"/>
  <c r="E9"/>
  <c r="E8"/>
  <c r="F13" i="10"/>
  <c r="F13" i="9"/>
  <c r="H48" i="2"/>
  <c r="H47"/>
  <c r="B8"/>
  <c r="B9"/>
  <c r="I31" i="49"/>
  <c r="B31" i="2"/>
  <c r="I39" s="1"/>
  <c r="H50" l="1"/>
  <c r="D12"/>
  <c r="O30" i="43"/>
  <c r="N30"/>
  <c r="M30"/>
  <c r="L30"/>
  <c r="K30"/>
  <c r="J30"/>
  <c r="I30"/>
  <c r="H30"/>
  <c r="G30"/>
  <c r="F30"/>
  <c r="E30"/>
  <c r="D30"/>
  <c r="B30"/>
  <c r="Q32"/>
  <c r="N19"/>
  <c r="M19"/>
  <c r="L19"/>
  <c r="K19"/>
  <c r="J19"/>
  <c r="I19"/>
  <c r="H19"/>
  <c r="G19"/>
  <c r="F19"/>
  <c r="E19"/>
  <c r="D19"/>
  <c r="B19"/>
  <c r="C18"/>
  <c r="C17"/>
  <c r="C16"/>
  <c r="C15"/>
  <c r="C14"/>
  <c r="C13"/>
  <c r="C12"/>
  <c r="C11"/>
  <c r="C10"/>
  <c r="C9"/>
  <c r="O19"/>
  <c r="C8"/>
  <c r="A3"/>
  <c r="A1"/>
  <c r="K19" i="42"/>
  <c r="L19"/>
  <c r="M19"/>
  <c r="N19"/>
  <c r="O19"/>
  <c r="E19"/>
  <c r="F19"/>
  <c r="G19"/>
  <c r="H19"/>
  <c r="I19"/>
  <c r="J19"/>
  <c r="D19"/>
  <c r="C17"/>
  <c r="C9"/>
  <c r="C10"/>
  <c r="C11"/>
  <c r="C12"/>
  <c r="C13"/>
  <c r="C14"/>
  <c r="C15"/>
  <c r="C16"/>
  <c r="C18"/>
  <c r="K10" i="29"/>
  <c r="G10" i="33"/>
  <c r="I15" i="29"/>
  <c r="I11"/>
  <c r="C19" i="43" l="1"/>
  <c r="Q19"/>
  <c r="C30"/>
  <c r="C31" s="1"/>
  <c r="Q33" s="1"/>
  <c r="Q19" i="42"/>
  <c r="E13" i="23"/>
  <c r="I26" i="17"/>
  <c r="I24"/>
  <c r="I19"/>
  <c r="I14"/>
  <c r="I13" i="12"/>
  <c r="I14"/>
  <c r="I12"/>
  <c r="H12"/>
  <c r="G10"/>
  <c r="G11"/>
  <c r="G9"/>
  <c r="G8"/>
  <c r="H58" i="2"/>
  <c r="H56"/>
  <c r="D13"/>
  <c r="F53" i="1"/>
  <c r="F17"/>
  <c r="F20"/>
  <c r="P26" i="37"/>
  <c r="P8"/>
  <c r="P10"/>
  <c r="P11"/>
  <c r="P12"/>
  <c r="P14"/>
  <c r="P15"/>
  <c r="P17"/>
  <c r="P18"/>
  <c r="P20"/>
  <c r="P21"/>
  <c r="P23"/>
  <c r="P24"/>
  <c r="P25"/>
  <c r="P28"/>
  <c r="P29"/>
  <c r="P7"/>
  <c r="E30"/>
  <c r="F30"/>
  <c r="G30"/>
  <c r="H30"/>
  <c r="I30"/>
  <c r="J30"/>
  <c r="K30"/>
  <c r="L30"/>
  <c r="M30"/>
  <c r="N30"/>
  <c r="O30"/>
  <c r="D30"/>
  <c r="G9" i="36"/>
  <c r="G9" i="33"/>
  <c r="I14" i="29"/>
  <c r="I10"/>
  <c r="I7"/>
  <c r="H13" i="25"/>
  <c r="H6" i="28"/>
  <c r="H7" i="25"/>
  <c r="K38" i="43"/>
  <c r="M40" s="1"/>
  <c r="C38"/>
  <c r="E40" s="1"/>
  <c r="R30" i="37" l="1"/>
  <c r="H57" i="2"/>
  <c r="H59" s="1"/>
  <c r="F20" i="23"/>
  <c r="H51" i="2"/>
  <c r="P30" i="37"/>
  <c r="C37" i="42"/>
  <c r="E39" s="1"/>
  <c r="G21" i="49"/>
  <c r="G23" s="1"/>
  <c r="A3"/>
  <c r="A1"/>
  <c r="E20" i="12"/>
  <c r="E21" s="1"/>
  <c r="E18" i="24"/>
  <c r="F18"/>
  <c r="G18"/>
  <c r="H18"/>
  <c r="D18"/>
  <c r="A3" i="42"/>
  <c r="A3" i="39"/>
  <c r="A3" i="37"/>
  <c r="A3" i="38"/>
  <c r="A3" i="36"/>
  <c r="A3" i="34"/>
  <c r="A3" i="33"/>
  <c r="A3" i="32"/>
  <c r="A3" i="30"/>
  <c r="A3" i="29"/>
  <c r="A3" i="28"/>
  <c r="A3" i="25"/>
  <c r="A3" i="24"/>
  <c r="A3" i="23"/>
  <c r="A3" i="17"/>
  <c r="A3" i="14"/>
  <c r="A3" i="12"/>
  <c r="A3" i="10"/>
  <c r="B30" i="42" l="1"/>
  <c r="B19"/>
  <c r="K37"/>
  <c r="M39" s="1"/>
  <c r="O30"/>
  <c r="N30"/>
  <c r="M30"/>
  <c r="L30"/>
  <c r="K30"/>
  <c r="J30"/>
  <c r="I30"/>
  <c r="H30"/>
  <c r="G30"/>
  <c r="F30"/>
  <c r="E30"/>
  <c r="D30"/>
  <c r="Q31"/>
  <c r="Q32"/>
  <c r="A1"/>
  <c r="N18" i="39"/>
  <c r="M18"/>
  <c r="L18"/>
  <c r="K18"/>
  <c r="J18"/>
  <c r="I18"/>
  <c r="H18"/>
  <c r="G18"/>
  <c r="F18"/>
  <c r="E18"/>
  <c r="D18"/>
  <c r="C18"/>
  <c r="O17"/>
  <c r="O16"/>
  <c r="O15"/>
  <c r="O14"/>
  <c r="O13"/>
  <c r="O12"/>
  <c r="O11"/>
  <c r="O10"/>
  <c r="O9"/>
  <c r="O7"/>
  <c r="A1"/>
  <c r="H8" i="25"/>
  <c r="H9"/>
  <c r="H10"/>
  <c r="H11"/>
  <c r="H12"/>
  <c r="H14"/>
  <c r="H15"/>
  <c r="H6"/>
  <c r="H7" i="28"/>
  <c r="H8"/>
  <c r="H9"/>
  <c r="H10"/>
  <c r="H11"/>
  <c r="H12"/>
  <c r="H13"/>
  <c r="H14"/>
  <c r="I6" i="29"/>
  <c r="I9"/>
  <c r="I12"/>
  <c r="I13"/>
  <c r="I16"/>
  <c r="I17"/>
  <c r="I18"/>
  <c r="I21"/>
  <c r="I22"/>
  <c r="I6" i="30"/>
  <c r="I7"/>
  <c r="I8"/>
  <c r="I9"/>
  <c r="I10"/>
  <c r="I11"/>
  <c r="I12"/>
  <c r="I13"/>
  <c r="I14"/>
  <c r="J6" i="32"/>
  <c r="J7"/>
  <c r="J8"/>
  <c r="J9"/>
  <c r="J10"/>
  <c r="J11"/>
  <c r="J12"/>
  <c r="J13"/>
  <c r="J14"/>
  <c r="G6" i="33"/>
  <c r="G7"/>
  <c r="G8"/>
  <c r="G11"/>
  <c r="G12"/>
  <c r="G13"/>
  <c r="G14"/>
  <c r="G15"/>
  <c r="G16"/>
  <c r="I6" i="34"/>
  <c r="I7"/>
  <c r="I8"/>
  <c r="I9"/>
  <c r="I10"/>
  <c r="I11"/>
  <c r="I12"/>
  <c r="I13"/>
  <c r="I14"/>
  <c r="G6" i="36"/>
  <c r="G7"/>
  <c r="G8"/>
  <c r="G10"/>
  <c r="G11"/>
  <c r="G12"/>
  <c r="G13"/>
  <c r="G14"/>
  <c r="H6" i="38"/>
  <c r="H7"/>
  <c r="H8"/>
  <c r="H9"/>
  <c r="H10"/>
  <c r="H11"/>
  <c r="H12"/>
  <c r="H15"/>
  <c r="H16"/>
  <c r="G17"/>
  <c r="F17"/>
  <c r="E17"/>
  <c r="D17"/>
  <c r="F15" i="36"/>
  <c r="E15"/>
  <c r="D15"/>
  <c r="H15" i="34"/>
  <c r="G15"/>
  <c r="F15"/>
  <c r="E15"/>
  <c r="D15"/>
  <c r="F17" i="33"/>
  <c r="E17"/>
  <c r="D17"/>
  <c r="I15" i="32"/>
  <c r="H15"/>
  <c r="G15"/>
  <c r="F15"/>
  <c r="E15"/>
  <c r="D15"/>
  <c r="H15" i="30"/>
  <c r="G15"/>
  <c r="F15"/>
  <c r="E15"/>
  <c r="D15"/>
  <c r="H23" i="29"/>
  <c r="G23"/>
  <c r="F23"/>
  <c r="E23"/>
  <c r="D23"/>
  <c r="G15" i="28"/>
  <c r="F15"/>
  <c r="E15"/>
  <c r="D15"/>
  <c r="F8" i="27"/>
  <c r="F7"/>
  <c r="G16" i="25"/>
  <c r="F16"/>
  <c r="E16"/>
  <c r="D16"/>
  <c r="E17" i="27"/>
  <c r="D17"/>
  <c r="A1" i="38"/>
  <c r="A1" i="37"/>
  <c r="A1" i="36"/>
  <c r="A1" i="34"/>
  <c r="A1" i="33"/>
  <c r="A1" i="32"/>
  <c r="A1" i="30"/>
  <c r="A1" i="29"/>
  <c r="A1" i="28"/>
  <c r="A1" i="27"/>
  <c r="A1" i="25"/>
  <c r="O18" i="39" l="1"/>
  <c r="I15" i="30"/>
  <c r="I23" i="29"/>
  <c r="C19" i="42"/>
  <c r="R32" i="37" s="1"/>
  <c r="R33" s="1"/>
  <c r="C30" i="42"/>
  <c r="H16" i="25"/>
  <c r="H15" i="28"/>
  <c r="J15" i="32"/>
  <c r="G17" i="33"/>
  <c r="I15" i="34"/>
  <c r="G15" i="36"/>
  <c r="H17" i="38"/>
  <c r="F17" i="27"/>
  <c r="C31" i="42" l="1"/>
  <c r="Q33" s="1"/>
  <c r="Q35" s="1"/>
  <c r="A1" i="23"/>
  <c r="G22" i="17"/>
  <c r="G23" s="1"/>
  <c r="G31" s="1"/>
  <c r="I33" i="49" s="1"/>
  <c r="A1" i="17"/>
  <c r="A1" i="14"/>
  <c r="D21" i="12"/>
  <c r="C20"/>
  <c r="C21" s="1"/>
  <c r="A1"/>
  <c r="A1" i="10"/>
  <c r="A1" i="9"/>
  <c r="D35" i="2"/>
  <c r="B35"/>
  <c r="H60" s="1"/>
  <c r="H61" s="1"/>
  <c r="F50" i="1"/>
  <c r="F59"/>
  <c r="D4" i="2"/>
  <c r="A35" i="1"/>
  <c r="A1" i="2"/>
  <c r="F43" i="1" l="1"/>
  <c r="F36" i="2"/>
  <c r="G34" i="49"/>
  <c r="F38" i="2"/>
  <c r="F39" s="1"/>
  <c r="I40" s="1"/>
  <c r="F54" i="1"/>
  <c r="F61" s="1"/>
  <c r="F30" i="23"/>
  <c r="F9" i="1"/>
  <c r="F22"/>
  <c r="G61" l="1"/>
  <c r="F29" i="23"/>
  <c r="H30" s="1"/>
</calcChain>
</file>

<file path=xl/sharedStrings.xml><?xml version="1.0" encoding="utf-8"?>
<sst xmlns="http://schemas.openxmlformats.org/spreadsheetml/2006/main" count="845" uniqueCount="323">
  <si>
    <t>งบแสดงฐานะการเงิน</t>
  </si>
  <si>
    <t>สินทรัพย์</t>
  </si>
  <si>
    <t>ทรัพย์สินตามงบทรัพย์สิน</t>
  </si>
  <si>
    <t>เงินสดและเงินฝากธนาคาร</t>
  </si>
  <si>
    <t>ลูกหนี้ค่าภาษี</t>
  </si>
  <si>
    <t>ลูกหนี้เงินทุนโครงการเศรษฐกิจชุมชน</t>
  </si>
  <si>
    <t>รวมสินทรัพย์</t>
  </si>
  <si>
    <t>หนี้สิน</t>
  </si>
  <si>
    <t>ทุนทรัพย์สิน</t>
  </si>
  <si>
    <t>เงินรับฝาก</t>
  </si>
  <si>
    <t>รายจ่ายค้างจ่าย</t>
  </si>
  <si>
    <t>หนี้สินหมุนเวียนอื่น</t>
  </si>
  <si>
    <t>รวมหนี้สิน</t>
  </si>
  <si>
    <t xml:space="preserve">เงินสะสม  </t>
  </si>
  <si>
    <t>เงินทุนสำรองเงินสะสม</t>
  </si>
  <si>
    <t>รวมเงินสะสม</t>
  </si>
  <si>
    <t>รวมหนี้สินและเงินสะสม</t>
  </si>
  <si>
    <t>หนี้สินและเงินสะสม</t>
  </si>
  <si>
    <t>ที่ดิน</t>
  </si>
  <si>
    <t>อาคาร</t>
  </si>
  <si>
    <t>บ้านพัก</t>
  </si>
  <si>
    <t>ครุภัณฑ์สำนักงาน</t>
  </si>
  <si>
    <t>ครุภัณฑ์การศึกษา</t>
  </si>
  <si>
    <t>ครุภัณฑ์ยานพาหนะและขนส่ง</t>
  </si>
  <si>
    <t>ครุภัณฑ์การเกษตร</t>
  </si>
  <si>
    <t>ครุภัณฑ์ก่อสร้าง</t>
  </si>
  <si>
    <t>ครุภัณฑ์ไฟฟ้าและวิทยุ</t>
  </si>
  <si>
    <t>ครุภัณฑ์โฆษณาและเผยแพร่</t>
  </si>
  <si>
    <t>ครุภัณฑ์วิทยาศาสตร์และการแพทย์</t>
  </si>
  <si>
    <t>ครุภัณฑ์งานบ้านงานครัว</t>
  </si>
  <si>
    <t>ครุภัณฑ์โรงงาน</t>
  </si>
  <si>
    <t>ครุภัณฑ์ดับเพลิง</t>
  </si>
  <si>
    <t>ครุภัณฑ์กีฬา</t>
  </si>
  <si>
    <t>ครุภัณฑ์สำรวจ</t>
  </si>
  <si>
    <t>ครุภัณฑ์อาวุธ</t>
  </si>
  <si>
    <t>ครุภัณฑ์ดนตรีและนาฏศิลป์</t>
  </si>
  <si>
    <t>ครุภัณฑ์คอมพิวเตอร์</t>
  </si>
  <si>
    <t>ครุภัณฑ์การโยธา</t>
  </si>
  <si>
    <t>รวมที่ดิน อาคารสิ่งปลูกสร้างและครุภัณฑ์</t>
  </si>
  <si>
    <t>งบทรัพย์สิน</t>
  </si>
  <si>
    <t>รายได้</t>
  </si>
  <si>
    <t>เงินกู้</t>
  </si>
  <si>
    <t>เงินอุทิศ</t>
  </si>
  <si>
    <t>เงินรับโอน</t>
  </si>
  <si>
    <t>เงินอุดหนุน</t>
  </si>
  <si>
    <t>ประมาณการ</t>
  </si>
  <si>
    <t>หน่วย : บาท</t>
  </si>
  <si>
    <t>จำนวนเงิน</t>
  </si>
  <si>
    <t>รายการ</t>
  </si>
  <si>
    <t>รายรับ</t>
  </si>
  <si>
    <t>รายจ่าย</t>
  </si>
  <si>
    <t>ก.  อสังหาริมทรัพย์</t>
  </si>
  <si>
    <t>ประเภททรัพย์สิน</t>
  </si>
  <si>
    <t>ข.  สังหาริมทรัพย์</t>
  </si>
  <si>
    <t>ราคาทรัพย์สิน</t>
  </si>
  <si>
    <t>รวมรายรับ</t>
  </si>
  <si>
    <t>แหล่งที่มาของทรัพย์สิน</t>
  </si>
  <si>
    <t>งบแสดงผลการดำเนินงานจ่ายจากเงินรายรับ</t>
  </si>
  <si>
    <t>เงินเดือน</t>
  </si>
  <si>
    <t>ค่าตอบแทน</t>
  </si>
  <si>
    <t>ค่าใช้สอย</t>
  </si>
  <si>
    <t>ค่าวัสดุ</t>
  </si>
  <si>
    <t>รายจ่ายอื่น</t>
  </si>
  <si>
    <t>งบกลาง</t>
  </si>
  <si>
    <t>ค่าที่ดินและสิ่งก่อสร้าง</t>
  </si>
  <si>
    <t>หมวดภาษีจัดสรร</t>
  </si>
  <si>
    <t>หมวดเงินอุดหนุนทั่วไป</t>
  </si>
  <si>
    <t>เงินสะสม</t>
  </si>
  <si>
    <t>หมายเหตุ</t>
  </si>
  <si>
    <t>สินทรัพย์หมุนเวียน</t>
  </si>
  <si>
    <t>รายได้จากรัฐบาลค้างรับ</t>
  </si>
  <si>
    <t>รวมสินทรัพย์หมุนเวียน</t>
  </si>
  <si>
    <t>รวมไม่สินทรัพย์หมุนเวียน</t>
  </si>
  <si>
    <t>หนี้สินหมุนเวียน</t>
  </si>
  <si>
    <t>รวมหนี้สินหมุนเวียน</t>
  </si>
  <si>
    <t>หนี้สินไม่หมุนเวียน</t>
  </si>
  <si>
    <t>รวมหนี้สินไม่หมุนเวียน</t>
  </si>
  <si>
    <t xml:space="preserve">ครุภัณฑ์อื่น ๆ </t>
  </si>
  <si>
    <t>ชื่อ</t>
  </si>
  <si>
    <t>รวมจำนวนเงินแหล่งที่มาของทรัพย์สิน</t>
  </si>
  <si>
    <t>หมายเหตุประกอบงบแสดงฐานะการเงิน</t>
  </si>
  <si>
    <t>หมายเหตุ 3  เงินสดและเงินฝากธนาคาร</t>
  </si>
  <si>
    <t>เงินสด</t>
  </si>
  <si>
    <t>รวม</t>
  </si>
  <si>
    <t>หมายเหตุ 4  รายได้จากรัฐบาลค้างรับ</t>
  </si>
  <si>
    <t>หมายเหตุ 5  ลูกหนี้ค่าภาษี</t>
  </si>
  <si>
    <t>ประเภทลูกหนี้</t>
  </si>
  <si>
    <t>ประจำปี</t>
  </si>
  <si>
    <t>จำนวนราย</t>
  </si>
  <si>
    <t>รวมทั้งสิ้น</t>
  </si>
  <si>
    <t>ลูกหนี้ภาษีบำรุงท้องที่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</si>
  <si>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</si>
  <si>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</si>
  <si>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</si>
  <si>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</si>
  <si>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</si>
  <si>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</si>
  <si>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รายรับจริงสูงกว่ารายจ่ายจริง</t>
  </si>
  <si>
    <t>บวก</t>
  </si>
  <si>
    <t>รายรับจริงสูงกว่ารายจ่ายจริงหลังหักเงินทุนสำรองเงินสะสม</t>
  </si>
  <si>
    <t>รับเพิ่มระหว่างปี</t>
  </si>
  <si>
    <t>หัก</t>
  </si>
  <si>
    <t>จ่ายขาดเงินสะสม</t>
  </si>
  <si>
    <t>2. ลูกหนี้ค่าภาษี</t>
  </si>
  <si>
    <t>1. เงินฝาก ก.ส.ท.   หรือ  เงินฝาก ก.ส.อ.</t>
  </si>
  <si>
    <t>3. หุ้นในโรงพิมพ์อาสารักษาดินแดน</t>
  </si>
  <si>
    <t>4. ลูกหนี้รายได้อื่น ๆ</t>
  </si>
  <si>
    <t>5. ทรัพย์สินที่เกิดจากเงินกู้ที่ชำระหนี้แล้ว   (ผลต่างระหว่างทรัพย์สินเกิดจากเงินกู้และเจ้าหนี้เงินกู้)</t>
  </si>
  <si>
    <t>6. เงินสะสมที่สามารถนำไปใช้ได้</t>
  </si>
  <si>
    <r>
      <t>หัก</t>
    </r>
    <r>
      <rPr>
        <b/>
        <sz val="16"/>
        <rFont val="TH SarabunPSK"/>
        <family val="2"/>
      </rPr>
      <t xml:space="preserve">    </t>
    </r>
    <r>
      <rPr>
        <sz val="16"/>
        <rFont val="TH SarabunPSK"/>
        <family val="2"/>
      </rPr>
      <t>25% ของรายรับจริงสูงกว่ารายจ่ายจริง (เงินทุนสำรองเงินสะสม)</t>
    </r>
  </si>
  <si>
    <t>จำนวนเงินที่ได้รับอนุมัติ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</si>
  <si>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</si>
  <si>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</si>
  <si>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</si>
  <si>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</si>
  <si>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งบ</t>
  </si>
  <si>
    <t>งบบุคลากร</t>
  </si>
  <si>
    <t>เงินเดือน(ฝ่ายการเมือง)</t>
  </si>
  <si>
    <t>เงินเดือน(ฝ่ายประจำ)</t>
  </si>
  <si>
    <t>งบดำเนินการ</t>
  </si>
  <si>
    <t>ค่าสาธารณูปโภค</t>
  </si>
  <si>
    <t>ค่าครุภัณฑ์</t>
  </si>
  <si>
    <t>งบลงทุน</t>
  </si>
  <si>
    <t>งบรายจ่ายอื่น</t>
  </si>
  <si>
    <t>งบเงินอุดหนุน</t>
  </si>
  <si>
    <t>รายงานรายจ่ายในการดำเนินงานที่จ่ายจากเงินรายรับตามแผนงาน  ...บริหารงานทั่วไป...</t>
  </si>
  <si>
    <t>งานวางแผนสถิติและวิชาการ</t>
  </si>
  <si>
    <t>งานบริหารงานคลัง</t>
  </si>
  <si>
    <t>รายงานรายจ่ายในการดำเนินงานที่จ่ายจากเงินรายรับตามแผนงาน  ...การรักษาความสงบภายใน...</t>
  </si>
  <si>
    <t>งานบริหารงานทั่วไปเกี่ยวกับการรักษาความสงบภายใน</t>
  </si>
  <si>
    <t>งานเทศกิจ</t>
  </si>
  <si>
    <t>งานป้องกันฝ่ายพลเรือนและระงับอัคคีภัย</t>
  </si>
  <si>
    <t>รายงานรายจ่ายในการดำเนินงานที่จ่ายจากเงินรายรับตามแผนงาน  ...การศึกษา...</t>
  </si>
  <si>
    <t>งานบริหารงานทั่วไปเกี่ยวกับการศึกษา</t>
  </si>
  <si>
    <t>งานระดับก่อน
วัยเรียนและ
ประถมศึกษา</t>
  </si>
  <si>
    <t>งานระดับ
มัธยมศึกษา</t>
  </si>
  <si>
    <t>งานศึกษาไม่
กำหนดระดับ</t>
  </si>
  <si>
    <t>รายงานรายจ่ายในการดำเนินงานที่จ่ายจากเงินรายรับตามแผนงาน  ...สาธารณสุข...</t>
  </si>
  <si>
    <t>งานบริหารทั่วไป
เกี่ยวกับสาธารณสุข</t>
  </si>
  <si>
    <t>งานโรงพยาบาล</t>
  </si>
  <si>
    <t>งานบริการ
สาธารณสุขและ
งานสาธารณสุขอื่น</t>
  </si>
  <si>
    <t>งานศูนย์บริการ
สาธารณสุข</t>
  </si>
  <si>
    <t>รายงานรายจ่ายในการดำเนินงานที่จ่ายจากเงินรายรับตามแผนงาน  ...เคหะและชุมชน...</t>
  </si>
  <si>
    <t>งานบริหาร
ทั่วไปเกี่ยวกับ
เคหะชุมชม</t>
  </si>
  <si>
    <t>งานไฟฟ้าถนน</t>
  </si>
  <si>
    <t>งาน
สวนสาธารณะ</t>
  </si>
  <si>
    <t>งานกำจัดขยะ
มูลฝอยและสิ่ง
ปฏิกูล</t>
  </si>
  <si>
    <t>งานบำบัด
น้ำเสีย</t>
  </si>
  <si>
    <t>รายงานรายจ่ายในการดำเนินงานที่จ่ายจากเงินรายรับตามแผนงาน  ...สร้างความเข้มแข็งของชุมชน...</t>
  </si>
  <si>
    <t>งานบริหารทั่วไป
เกี่ยวกับการสร้างความ
เข้มแข็งของชุมชม</t>
  </si>
  <si>
    <t>งานส่งเสริมและ
สนับสนุนความ
เข้มแข็งชุมชน</t>
  </si>
  <si>
    <t>รายงานรายจ่ายในการดำเนินงานที่จ่ายจากเงินรายรับตามแผนงาน  ...การศาสนาวัฒนธรรมและนันทนาการ...</t>
  </si>
  <si>
    <t>งานบริหารทั่วไป
เกี่ยวกับศาสนา
วัฒนธรรมและ
นันทนาการ</t>
  </si>
  <si>
    <t>งานกีฬาและ
นันทนาการ</t>
  </si>
  <si>
    <t>งานศาสนาและ
วัฒนธรรมท้องถิ่น</t>
  </si>
  <si>
    <t>งานวิชการวางแผน
และส่งเสริม
การท่องเที่ยว</t>
  </si>
  <si>
    <t>รายงานรายจ่ายในการดำเนินงานที่จ่ายจากเงินรายรับตามแผนงาน  ...การเกษตร...</t>
  </si>
  <si>
    <t>งานส่งเสริมการเกษตร</t>
  </si>
  <si>
    <t>งานอนุรักษ์แหล่งน้ำ
และป่าไม้</t>
  </si>
  <si>
    <t>รายงานรายจ่ายในการดำเนินงานที่จ่ายจากเงินรายรับตามแผนงาน  ...การพาณิชย์...</t>
  </si>
  <si>
    <t>งานกิจการประปา</t>
  </si>
  <si>
    <t>งานตลาดสด</t>
  </si>
  <si>
    <t>งานโรงฆ่าสัตว์</t>
  </si>
  <si>
    <t>รายงานรายจ่ายในการดำเนินงานที่จ่ายจากเงินรายรับตามแผนงานรวม</t>
  </si>
  <si>
    <t>บริหาร
งาน
ทั่วไป</t>
  </si>
  <si>
    <t>การรักษา
ความ
สงบภายใน</t>
  </si>
  <si>
    <t>การศึกษา</t>
  </si>
  <si>
    <t>สังคม
สงเคราะห์</t>
  </si>
  <si>
    <t>เคหะและ
ชุมชน</t>
  </si>
  <si>
    <t>สร้าง
ความ
เข้มแข็ง
ของชุมชน</t>
  </si>
  <si>
    <t>การ
ศาสนา
วัฒนธรรม
และ
นันทนาการ</t>
  </si>
  <si>
    <t>อุตสาหกรรม
และการโยธา</t>
  </si>
  <si>
    <t>การเกษตร
การ</t>
  </si>
  <si>
    <t>การ
พาณิชย์</t>
  </si>
  <si>
    <t>สาธารณสุข
สังคม</t>
  </si>
  <si>
    <t>รายงานรายจ่ายในการดำเนินงานที่จ่ายจากเงินสะสม</t>
  </si>
  <si>
    <t>ค่าครุภัณฑ์   (หมายเหตุ  1)</t>
  </si>
  <si>
    <t>ค่าที่ดินและสิ่งก่อสร้าง  (หมายเหตุ 2 )</t>
  </si>
  <si>
    <t>รวยรายจ่าย</t>
  </si>
  <si>
    <t>หมวดภาษีอากร</t>
  </si>
  <si>
    <t>หมวดค่าธรรมเนียมค่าปรับและใบอนุญาต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</si>
  <si>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</si>
  <si>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</si>
  <si>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</si>
  <si>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หมวดเงินอุดหนุนระบุวัตถุประสงค์/เฉพาะกิจ</t>
  </si>
  <si>
    <t>รายรับสูงกว่าหรือ(ต่ำกว่า)รายจ่าย</t>
  </si>
  <si>
    <t>งบแสดงผลการดำเนินงานจ่ายจากเงินรายรับและเงินสะสม</t>
  </si>
  <si>
    <t>รายละเอียดประกอบงบแสดงผลการดำเนินงานจ่ายจากเงินรายรับ</t>
  </si>
  <si>
    <t xml:space="preserve">  หมายเหตุ  1    ค่าครุภัณฑ์ </t>
  </si>
  <si>
    <t>บาท</t>
  </si>
  <si>
    <t>ประกอบด้วย</t>
  </si>
  <si>
    <t>จ่ายจากเงินรายรับ</t>
  </si>
  <si>
    <t>จ่ายจากเงินอุดหนุนระบุวัตถุประสงค์ / เฉพาะกิจ</t>
  </si>
  <si>
    <t xml:space="preserve">  หมายเหตุ  2    ค่าที่ดินและสิ่งก่อสร้าง     จำนวนเงิน</t>
  </si>
  <si>
    <t>หมายเหตุ 2    งบทรัพย์สิน</t>
  </si>
  <si>
    <t>รายงานรายจ่ายในการดำเนินงานที่จ่ายจากเงินรายรับตามแผนงาน  ..งบกลาง..</t>
  </si>
  <si>
    <t>รายละเอียดประกอบงบแสดงผลการดำเนินงานจ่ายจากเงินรายรับและเงินสะสม</t>
  </si>
  <si>
    <t>จ่ายจากเงินสะสม</t>
  </si>
  <si>
    <t>องค์การบริหารส่วนตำบลท่าซอม</t>
  </si>
  <si>
    <t>เงินฝากธนาคาร ธกส. สาขาหัวไทร ประเภทออมทรัพย์ เลขที่ 01715-2-42433-1</t>
  </si>
  <si>
    <t>เงินฝากธนาคาร ธกส. สาขาหัวไทร ประเภทออมทรัพย์ เลขที่ 01715-2-46778-9</t>
  </si>
  <si>
    <t>เงินฝากธนาคารกรุงไทย สาขาหัวไทร ประเภทออมทรัพย์ เลขที่ 983-6-40475-9</t>
  </si>
  <si>
    <t>เงินงบประมาณ</t>
  </si>
  <si>
    <t>การพาณิชย์</t>
  </si>
  <si>
    <t>กิจการประปา</t>
  </si>
  <si>
    <t>รายจ่ายให้ได้มาซึ่งบริการ</t>
  </si>
  <si>
    <t>จ้างเหมาจดเลขมาตรวัดน้ำประปา</t>
  </si>
  <si>
    <t>จ้างเหมาดูแลท่อเมนต์ประปาในตำบล</t>
  </si>
  <si>
    <t>จ้างเหมาควบคุมการผลิตน้ำประปา</t>
  </si>
  <si>
    <t>บริหารงานทั่วไป</t>
  </si>
  <si>
    <t>บริหารทั่วไป</t>
  </si>
  <si>
    <t>จ้างเหมารักษาความปลอดภัย สนง.</t>
  </si>
  <si>
    <t>จ้างเหมาดูแลรักษาความสะอาด สนง.</t>
  </si>
  <si>
    <t>สาธารณสุข</t>
  </si>
  <si>
    <t>บริหารทั่วไปเกี่ยว</t>
  </si>
  <si>
    <t>กับสาธารณสุข</t>
  </si>
  <si>
    <t>รายจ่ายเกี่ยวเนื่องกับการ</t>
  </si>
  <si>
    <t>ปฏิบัติราชการที่ไม่เข้าฯ</t>
  </si>
  <si>
    <t>จ้างเหมาบริการระบบการแพทย์ฉุกเฉิน</t>
  </si>
  <si>
    <t>เคหะและชุมชน</t>
  </si>
  <si>
    <t>กับการศึกษา</t>
  </si>
  <si>
    <t>ค่าอาหารเสริม (นม)</t>
  </si>
  <si>
    <t>ค่าอาหารเสริม(นม) สำหรับ ศพด.</t>
  </si>
  <si>
    <t>ค่าอาหารเสริม(นม) สำหรับโรงเรียนสังกัด สพฐ.</t>
  </si>
  <si>
    <t>ค่าที่ดินและ</t>
  </si>
  <si>
    <t>สิ่งก่อสร้าง</t>
  </si>
  <si>
    <t>ค่าก่อสร้างสิ่งสาธารณูปโภค</t>
  </si>
  <si>
    <t>ยอดยกมา</t>
  </si>
  <si>
    <t>จ้างที่ปรึกษาโครการประเมินความพึงพอใจฯ</t>
  </si>
  <si>
    <t>รายได้ไม่รวมเงินอุดหนุนเฉพาะกิจ</t>
  </si>
  <si>
    <t>ตรงกับรับจริง</t>
  </si>
  <si>
    <t>รายรับ มากกว่า รายจ่าย (ไม่รวมเงินอุดหนุนเฉพาะกิจ)</t>
  </si>
  <si>
    <t>ผลต่าง (คนแก่คนพิการ รอคืนจังหวัด)</t>
  </si>
  <si>
    <t>ผลต่าง จ่ายจากเงินสะสม</t>
  </si>
  <si>
    <t>ที่ดินและสิ่งก่อสร้าง</t>
  </si>
  <si>
    <t>ค่าก่อสร้าง</t>
  </si>
  <si>
    <t>สิ่งสาธารณูปโภค</t>
  </si>
  <si>
    <t>เงินอุดหนุนระบุวัตถุประสงค์ / เฉพาะกิจ</t>
  </si>
  <si>
    <t>งานบริหารทั่วไป</t>
  </si>
  <si>
    <t>เฉพาะกิจ</t>
  </si>
  <si>
    <t>เงินอุดหนุนระบุวัตถุประสงค์/</t>
  </si>
  <si>
    <t xml:space="preserve">การเกษตร
</t>
  </si>
  <si>
    <t xml:space="preserve">สาธารณสุข
</t>
  </si>
  <si>
    <t>อุดหนุนพัฒนาประเทศ</t>
  </si>
  <si>
    <t>สินทรัพย์ไม่หมุนเวียน</t>
  </si>
  <si>
    <t>เงินสมทบประกันสังคม</t>
  </si>
  <si>
    <t>รวมรายจ่ายค้างจ่าย</t>
  </si>
  <si>
    <t>ยอดยกไป</t>
  </si>
  <si>
    <t>รวมทั้งสิ้น (กรณีก่อหนี้ผูกพัน)</t>
  </si>
  <si>
    <t>รวมทั้งสิ้น (กรณีไม่ก่อหนี้ผูกพัน/ยังไม่ดำเนินการ)</t>
  </si>
  <si>
    <t>ผลต่าง</t>
  </si>
  <si>
    <t>ผลต่างกับทะเบียนทรัพย์สิน</t>
  </si>
  <si>
    <t>ทะเบียนทรัพย์สิน (พัสดุ)</t>
  </si>
  <si>
    <t>บ/ช (ตามงบประมาณ)</t>
  </si>
  <si>
    <t>บ/ช (เงินนอกงบประมาณ)</t>
  </si>
  <si>
    <t>ระหว่างปี (พัสดุ)</t>
  </si>
  <si>
    <t>ผลต่าง บ/ช และ พัสดุ</t>
  </si>
  <si>
    <t>ระหว่างปี เงินตาม</t>
  </si>
  <si>
    <t>ระหว่างปี เงินนอกงบประมาณ</t>
  </si>
  <si>
    <t>งบพัสดุ</t>
  </si>
  <si>
    <t>เงินฝากธนาคารกรุงไทย สาขาหัวไทร ประเภทประจำ เลขที่ 984-2-51268-1</t>
  </si>
  <si>
    <t>เงินอุดหนุนทั่วไประบุวัตถุประสงค์</t>
  </si>
  <si>
    <t xml:space="preserve">   -  สนับสนุนการเสริมสร้างสวัสดิการทางสังคมให้แก่ผู้พิการ</t>
  </si>
  <si>
    <t>หมายเหตุ 7.1  รายจ่ายค้างจ่าย (กรณีก่อหนี้ผูกพัน)</t>
  </si>
  <si>
    <t>หมายเหตุ 7.2   รายจ่ายค้างจ่าย (กรณีไม่ก่อหนี้ผูกพัน/ยังไม่ดำเนินการ)</t>
  </si>
  <si>
    <t>หมายเหตุ 9  เงินสะสม</t>
  </si>
  <si>
    <t>และจะเบิกจ่ายในปีงบประมาณต่อไป  ตามรายละเอียดแนบท้ายหมายเหตุ 9</t>
  </si>
  <si>
    <t xml:space="preserve">ปรับปรุงระหว่างปี </t>
  </si>
  <si>
    <t>ระดับก่อนวัยเรียน</t>
  </si>
  <si>
    <t>ค่าตอบแทนพนักงานจ้าง</t>
  </si>
  <si>
    <t>และประถมศึกษา</t>
  </si>
  <si>
    <t>(ฝ่ายประจำ)</t>
  </si>
  <si>
    <t>เงินเพิ่มต่างๆของพนักงาน</t>
  </si>
  <si>
    <t>จ้าง</t>
  </si>
  <si>
    <t>เงินช่วยเหลือการศึกษาบุตร</t>
  </si>
  <si>
    <t>ไฟฟ้าถนน</t>
  </si>
  <si>
    <t>ปรับปรุงถนนสายคันคลองบางเสือ หมู่ที่ 6</t>
  </si>
  <si>
    <t xml:space="preserve">ปรับปรุงถนนสายเลียบคลองพัทธสีมา 2 </t>
  </si>
  <si>
    <t>รอคืนจังหวัด</t>
  </si>
  <si>
    <t>(เหลือจ่ายยกมา)</t>
  </si>
  <si>
    <t>หมู่ที่ 9 (เหลือจ่ายยกมา)</t>
  </si>
  <si>
    <t>ครู</t>
  </si>
  <si>
    <t>พนง.จ้าง</t>
  </si>
  <si>
    <t>เงินเพิ่ม</t>
  </si>
  <si>
    <t>หมวดรายได้ทรัพย์สิน</t>
  </si>
  <si>
    <t>บัญชี</t>
  </si>
  <si>
    <t xml:space="preserve">  ผู้อำนวยการกองคลัง                    ปลัดองค์การบริหารส่วนตำบลท่าซอม         นายกองค์การบริหารส่วนตำบลท่าซอม</t>
  </si>
  <si>
    <t xml:space="preserve"> (นางเพ็ญศรี  เอียดสังข์)                          (นายสุชาติ  ชำนาญแทน)                        (นายธรรมนูญ  ดีทองอ่อน)</t>
  </si>
  <si>
    <t>(ลงชื่อ)..................................                      (ลงชื่อ).....................................                   (ลงชื่อ).......................................</t>
  </si>
  <si>
    <t>ณ วันที่ 30 กันยายน 2560</t>
  </si>
  <si>
    <t>ยกมาปี 59</t>
  </si>
  <si>
    <t>ตัดจำหน่าย ปี2560</t>
  </si>
  <si>
    <t>รวมพัสดุประจำปี 2560</t>
  </si>
  <si>
    <t>สำหรับปี สิ้นสุดวันที่ 30 กันยายน 2560</t>
  </si>
  <si>
    <t>เงินฝากธนาคารกรุงไทย สาขาปากพนัง ประเภทกระแสรายวัน เลขที่ 802-6-01902-4</t>
  </si>
  <si>
    <t>เงินอุดหนุนเฉพาะกิจโครงการ Matching Fund</t>
  </si>
  <si>
    <t xml:space="preserve">   - ก่อสร้างประปาหมู่บ้านแบบบาดาล หมู่ที่ 3 บ้านบางหนัง</t>
  </si>
  <si>
    <t>เงินรายรับ หมวดภาษีจัดสรร</t>
  </si>
  <si>
    <t xml:space="preserve">   - ภาษีมูลค่าเพิ่มตาม พ.ร.บ. กำหนดแผนฯ</t>
  </si>
  <si>
    <t>dif</t>
  </si>
  <si>
    <t>รายละเอียด</t>
  </si>
  <si>
    <t>วัสดุสำนักงาน</t>
  </si>
  <si>
    <t>ค่าหนังสือพิมพ์</t>
  </si>
  <si>
    <t>อาคารต่างๆ</t>
  </si>
  <si>
    <t>ก่อสร้างรั้วที่ทำการ อบต.ท่าซอม</t>
  </si>
  <si>
    <t>ก่อสร้างประปาหมู่บ้านแบบบาดาล หมู่ที่ 3</t>
  </si>
  <si>
    <t>บ้านบางหนัง</t>
  </si>
  <si>
    <t>หมายเหตุ 6  ลูกหนี้เงินทุนโครงการเศรษฐกิจชุมชน</t>
  </si>
  <si>
    <t>กลุ่มกองทุนอาหารหมู่บ้าน หมู่ที่ 3</t>
  </si>
  <si>
    <t>กลุ่มเกษตรและปศุสัตว์ชุมชน หมู่ที่ 2</t>
  </si>
  <si>
    <t>กลุ่มรถไถเดินถามบ้านหัวแค หมู่ที่ 9</t>
  </si>
  <si>
    <t>กลุ่มสตรีร่วมใจพัฒนา ม. 4 ต.ท่าซอม</t>
  </si>
  <si>
    <t>กลุ่มสัจจะสะสม</t>
  </si>
  <si>
    <t>กลุ่มสัจจะออมทรัยพ์บ้านเสือหึง หมู่ที่ 1</t>
  </si>
  <si>
    <t>เงินสะสม  1  ตุลาคม 2559  (เงินสะสมต้นปี)</t>
  </si>
  <si>
    <t>เงินสะสม  ณ  30  กันยายน 2560  (เงินสะสมปลายปี)</t>
  </si>
  <si>
    <t>เงินสะสม  ณ  30  กันยายน 2560  ประกอบด้วย</t>
  </si>
  <si>
    <t>ทั้งนี้ในงบประมาณ พ.ศ.  2560  ได้รับอนุมัติให้จ่ายเงินสะสมที่อยู่ระหว่างดำเนินการจำนวน ........1,477,000.-..........บาท</t>
  </si>
  <si>
    <t>รายละเอียดแนบท้ายหมายเหตุ 9  เงินสะสม</t>
  </si>
  <si>
    <t>ก่อสร้างประปาหมู่บ้านแบบบาดาล</t>
  </si>
  <si>
    <t>หมู่ที่ 3 บ้านบางหนัง</t>
  </si>
  <si>
    <t>ตั้งแต่วันที่  1  ตุลาคม 2559   ถึงวันที่ 30  กันยายน 2560</t>
  </si>
  <si>
    <t>อื่น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</si>
</sst>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64" formatCode="#,##0.00_);\(#,##0.00\)"/>
    <numFmt numFmtId="165" formatCode="_-* #,##0.000_-;\-* #,##0.000_-;_-* &quot;-&quot;??_-;_-@_-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b/>
      <u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u/>
      <sz val="15"/>
      <color theme="1"/>
      <name val="TH SarabunPSK"/>
      <family val="2"/>
    </font>
    <font>
      <b/>
      <sz val="16"/>
      <color theme="1"/>
      <name val="5011_thE_Little_Uki_noworry"/>
    </font>
    <font>
      <b/>
      <sz val="16"/>
      <color rgb="FF0070C0"/>
      <name val="5011_thE_Little_Uki_noworry"/>
    </font>
    <font>
      <b/>
      <sz val="16"/>
      <color rgb="FFFF0000"/>
      <name val="5011_thE_Little_Uki_noworry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17"/>
      <color rgb="FFC00000"/>
      <name val="5011_thE_Little_Uki_noworry"/>
    </font>
    <font>
      <b/>
      <sz val="17"/>
      <color rgb="FF0070C0"/>
      <name val="5011_thE_Little_Uki_noworry"/>
    </font>
    <font>
      <b/>
      <sz val="15"/>
      <color rgb="FF00B050"/>
      <name val="5011_thE_Little_Uki_noworry"/>
    </font>
    <font>
      <sz val="16"/>
      <color rgb="FFFF0000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0070C0"/>
      <name val="TH SarabunPSK"/>
      <family val="2"/>
    </font>
    <font>
      <b/>
      <u val="singleAccounting"/>
      <sz val="16"/>
      <color theme="1"/>
      <name val="TH SarabunPSK"/>
      <family val="2"/>
    </font>
    <font>
      <b/>
      <u val="singleAccounting"/>
      <sz val="16"/>
      <color rgb="FF0070C0"/>
      <name val="TH SarabunPSK"/>
      <family val="2"/>
    </font>
    <font>
      <b/>
      <u val="singleAccounting"/>
      <sz val="16"/>
      <color rgb="FFFF0000"/>
      <name val="TH SarabunPSK"/>
      <family val="2"/>
    </font>
    <font>
      <b/>
      <u val="doubleAccounting"/>
      <sz val="16"/>
      <color theme="1"/>
      <name val="TH SarabunPSK"/>
      <family val="2"/>
    </font>
    <font>
      <b/>
      <sz val="16"/>
      <color rgb="FFFF66CC"/>
      <name val="TH SarabunPSK"/>
      <family val="2"/>
    </font>
    <font>
      <b/>
      <u val="singleAccounting"/>
      <sz val="16"/>
      <color rgb="FF00B050"/>
      <name val="TH SarabunPSK"/>
      <family val="2"/>
    </font>
    <font>
      <b/>
      <u val="double"/>
      <sz val="16"/>
      <color theme="1"/>
      <name val="TH SarabunPSK"/>
      <family val="2"/>
    </font>
    <font>
      <b/>
      <u val="singleAccounting"/>
      <sz val="16"/>
      <color rgb="FFFF66CC"/>
      <name val="TH SarabunPSK"/>
      <family val="2"/>
    </font>
    <font>
      <b/>
      <u val="singleAccounting"/>
      <sz val="16"/>
      <color rgb="FF0070C0"/>
      <name val="5011_thE_Little_Uki_noworry"/>
    </font>
    <font>
      <u val="doubleAccounting"/>
      <sz val="16"/>
      <color theme="1"/>
      <name val="TH SarabunPSK"/>
      <family val="2"/>
    </font>
    <font>
      <u val="singleAccounting"/>
      <sz val="16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FF66CC"/>
      <name val="5011_thE_Little_Uki_noworry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 applyProtection="1">
      <alignment vertical="center"/>
    </xf>
    <xf numFmtId="43" fontId="4" fillId="0" borderId="0" xfId="1" applyFont="1" applyBorder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5" fillId="0" borderId="1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43" fontId="3" fillId="0" borderId="4" xfId="1" applyFont="1" applyFill="1" applyBorder="1" applyAlignment="1">
      <alignment vertical="center"/>
    </xf>
    <xf numFmtId="43" fontId="3" fillId="0" borderId="11" xfId="1" applyFont="1" applyFill="1" applyBorder="1" applyAlignment="1">
      <alignment vertical="center"/>
    </xf>
    <xf numFmtId="43" fontId="4" fillId="0" borderId="11" xfId="1" applyFont="1" applyFill="1" applyBorder="1" applyAlignment="1">
      <alignment vertical="center"/>
    </xf>
    <xf numFmtId="43" fontId="5" fillId="0" borderId="11" xfId="1" applyFont="1" applyFill="1" applyBorder="1" applyAlignment="1">
      <alignment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43" fontId="4" fillId="0" borderId="10" xfId="1" applyFont="1" applyBorder="1" applyAlignment="1">
      <alignment vertical="center"/>
    </xf>
    <xf numFmtId="0" fontId="6" fillId="0" borderId="0" xfId="0" applyFont="1" applyFill="1" applyBorder="1" applyAlignment="1" applyProtection="1">
      <alignment vertical="center"/>
    </xf>
    <xf numFmtId="43" fontId="3" fillId="0" borderId="6" xfId="0" applyNumberFormat="1" applyFont="1" applyFill="1" applyBorder="1" applyAlignment="1">
      <alignment vertical="center"/>
    </xf>
    <xf numFmtId="43" fontId="3" fillId="0" borderId="6" xfId="1" applyFont="1" applyFill="1" applyBorder="1" applyAlignment="1">
      <alignment vertical="center"/>
    </xf>
    <xf numFmtId="0" fontId="4" fillId="0" borderId="0" xfId="0" applyFont="1" applyAlignment="1">
      <alignment horizontal="center"/>
    </xf>
    <xf numFmtId="43" fontId="4" fillId="0" borderId="0" xfId="1" applyFont="1"/>
    <xf numFmtId="43" fontId="4" fillId="0" borderId="1" xfId="1" applyFont="1" applyBorder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11" xfId="0" applyFont="1" applyBorder="1"/>
    <xf numFmtId="0" fontId="4" fillId="0" borderId="5" xfId="0" applyFont="1" applyBorder="1"/>
    <xf numFmtId="43" fontId="4" fillId="0" borderId="4" xfId="1" applyFont="1" applyBorder="1"/>
    <xf numFmtId="43" fontId="4" fillId="0" borderId="11" xfId="1" applyFont="1" applyBorder="1"/>
    <xf numFmtId="43" fontId="4" fillId="0" borderId="5" xfId="1" applyFont="1" applyBorder="1"/>
    <xf numFmtId="43" fontId="3" fillId="0" borderId="3" xfId="1" applyFont="1" applyBorder="1"/>
    <xf numFmtId="43" fontId="3" fillId="0" borderId="6" xfId="1" applyFont="1" applyBorder="1"/>
    <xf numFmtId="41" fontId="3" fillId="0" borderId="3" xfId="0" applyNumberFormat="1" applyFont="1" applyBorder="1"/>
    <xf numFmtId="41" fontId="3" fillId="0" borderId="6" xfId="0" applyNumberFormat="1" applyFont="1" applyBorder="1"/>
    <xf numFmtId="43" fontId="4" fillId="0" borderId="6" xfId="1" applyFont="1" applyBorder="1"/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3" fontId="6" fillId="0" borderId="0" xfId="1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9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43" fontId="6" fillId="0" borderId="0" xfId="1" applyFont="1" applyBorder="1" applyAlignment="1">
      <alignment horizontal="right" vertical="center"/>
    </xf>
    <xf numFmtId="43" fontId="6" fillId="0" borderId="0" xfId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4" xfId="0" applyFont="1" applyBorder="1"/>
    <xf numFmtId="0" fontId="2" fillId="0" borderId="11" xfId="0" applyFont="1" applyBorder="1"/>
    <xf numFmtId="0" fontId="2" fillId="0" borderId="11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0" borderId="0" xfId="0" applyFont="1"/>
    <xf numFmtId="43" fontId="2" fillId="0" borderId="4" xfId="1" applyFont="1" applyBorder="1"/>
    <xf numFmtId="43" fontId="2" fillId="0" borderId="11" xfId="1" applyFont="1" applyBorder="1"/>
    <xf numFmtId="43" fontId="2" fillId="0" borderId="11" xfId="1" applyFont="1" applyBorder="1" applyAlignment="1">
      <alignment vertical="center"/>
    </xf>
    <xf numFmtId="43" fontId="2" fillId="0" borderId="5" xfId="1" applyFont="1" applyBorder="1"/>
    <xf numFmtId="0" fontId="2" fillId="0" borderId="5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2" fillId="0" borderId="0" xfId="0" applyFont="1" applyAlignment="1">
      <alignment horizontal="center"/>
    </xf>
    <xf numFmtId="43" fontId="10" fillId="0" borderId="13" xfId="1" applyFont="1" applyBorder="1" applyAlignment="1">
      <alignment vertical="center"/>
    </xf>
    <xf numFmtId="43" fontId="10" fillId="0" borderId="13" xfId="1" applyFont="1" applyBorder="1" applyAlignment="1">
      <alignment horizontal="center" vertical="center"/>
    </xf>
    <xf numFmtId="43" fontId="10" fillId="0" borderId="13" xfId="1" applyFont="1" applyBorder="1" applyAlignment="1">
      <alignment horizontal="center" vertical="center" wrapText="1"/>
    </xf>
    <xf numFmtId="43" fontId="10" fillId="0" borderId="4" xfId="1" applyFont="1" applyBorder="1" applyAlignment="1">
      <alignment horizontal="center" vertical="center"/>
    </xf>
    <xf numFmtId="43" fontId="10" fillId="0" borderId="7" xfId="1" applyFont="1" applyBorder="1" applyAlignment="1">
      <alignment horizontal="center" vertical="center"/>
    </xf>
    <xf numFmtId="43" fontId="10" fillId="0" borderId="7" xfId="1" applyFont="1" applyBorder="1" applyAlignment="1">
      <alignment horizontal="center" vertical="center" wrapText="1"/>
    </xf>
    <xf numFmtId="43" fontId="10" fillId="0" borderId="11" xfId="1" applyFont="1" applyBorder="1" applyAlignment="1">
      <alignment horizontal="center" vertical="center"/>
    </xf>
    <xf numFmtId="43" fontId="2" fillId="0" borderId="11" xfId="1" applyFont="1" applyBorder="1" applyAlignment="1"/>
    <xf numFmtId="43" fontId="10" fillId="0" borderId="11" xfId="1" applyFont="1" applyBorder="1" applyAlignment="1">
      <alignment vertical="center"/>
    </xf>
    <xf numFmtId="43" fontId="10" fillId="0" borderId="11" xfId="1" applyFont="1" applyBorder="1" applyAlignment="1">
      <alignment horizontal="center" vertical="center" wrapText="1"/>
    </xf>
    <xf numFmtId="43" fontId="10" fillId="0" borderId="14" xfId="1" applyFont="1" applyBorder="1" applyAlignment="1">
      <alignment vertical="center"/>
    </xf>
    <xf numFmtId="43" fontId="10" fillId="0" borderId="14" xfId="1" applyFont="1" applyBorder="1" applyAlignment="1">
      <alignment horizontal="center" vertical="center"/>
    </xf>
    <xf numFmtId="43" fontId="10" fillId="0" borderId="15" xfId="1" applyFont="1" applyBorder="1" applyAlignment="1">
      <alignment horizontal="center" vertical="center" wrapText="1"/>
    </xf>
    <xf numFmtId="43" fontId="4" fillId="0" borderId="14" xfId="1" applyFont="1" applyBorder="1"/>
    <xf numFmtId="43" fontId="10" fillId="0" borderId="14" xfId="0" applyNumberFormat="1" applyFont="1" applyBorder="1" applyAlignment="1"/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43" fontId="2" fillId="0" borderId="0" xfId="1" applyFont="1" applyAlignment="1"/>
    <xf numFmtId="43" fontId="4" fillId="0" borderId="6" xfId="0" applyNumberFormat="1" applyFont="1" applyBorder="1"/>
    <xf numFmtId="0" fontId="3" fillId="0" borderId="3" xfId="0" applyFont="1" applyBorder="1" applyAlignment="1">
      <alignment horizontal="center"/>
    </xf>
    <xf numFmtId="2" fontId="4" fillId="0" borderId="0" xfId="1" applyNumberFormat="1" applyFont="1"/>
    <xf numFmtId="9" fontId="3" fillId="0" borderId="3" xfId="0" applyNumberFormat="1" applyFont="1" applyBorder="1" applyAlignment="1">
      <alignment horizontal="center"/>
    </xf>
    <xf numFmtId="43" fontId="13" fillId="0" borderId="0" xfId="1" applyFont="1" applyAlignment="1"/>
    <xf numFmtId="43" fontId="13" fillId="0" borderId="0" xfId="1" applyFont="1"/>
    <xf numFmtId="0" fontId="12" fillId="0" borderId="0" xfId="0" applyFont="1"/>
    <xf numFmtId="43" fontId="14" fillId="0" borderId="0" xfId="0" applyNumberFormat="1" applyFont="1"/>
    <xf numFmtId="9" fontId="13" fillId="0" borderId="0" xfId="1" applyNumberFormat="1" applyFont="1" applyAlignment="1"/>
    <xf numFmtId="43" fontId="3" fillId="0" borderId="3" xfId="1" applyFont="1" applyBorder="1" applyAlignment="1">
      <alignment horizontal="center"/>
    </xf>
    <xf numFmtId="43" fontId="4" fillId="0" borderId="3" xfId="1" applyFont="1" applyBorder="1"/>
    <xf numFmtId="43" fontId="2" fillId="0" borderId="0" xfId="0" applyNumberFormat="1" applyFont="1"/>
    <xf numFmtId="2" fontId="2" fillId="0" borderId="18" xfId="0" applyNumberFormat="1" applyFont="1" applyBorder="1"/>
    <xf numFmtId="43" fontId="17" fillId="0" borderId="0" xfId="0" applyNumberFormat="1" applyFont="1"/>
    <xf numFmtId="43" fontId="2" fillId="0" borderId="17" xfId="0" applyNumberFormat="1" applyFont="1" applyBorder="1"/>
    <xf numFmtId="43" fontId="2" fillId="0" borderId="0" xfId="1" applyFont="1"/>
    <xf numFmtId="43" fontId="15" fillId="0" borderId="11" xfId="1" applyFont="1" applyBorder="1"/>
    <xf numFmtId="0" fontId="3" fillId="0" borderId="3" xfId="0" applyFont="1" applyBorder="1" applyAlignment="1">
      <alignment horizontal="center" vertical="center"/>
    </xf>
    <xf numFmtId="43" fontId="16" fillId="0" borderId="0" xfId="0" applyNumberFormat="1" applyFont="1"/>
    <xf numFmtId="43" fontId="2" fillId="0" borderId="17" xfId="1" applyFont="1" applyBorder="1"/>
    <xf numFmtId="43" fontId="2" fillId="0" borderId="18" xfId="0" applyNumberFormat="1" applyFont="1" applyBorder="1"/>
    <xf numFmtId="43" fontId="18" fillId="0" borderId="4" xfId="0" applyNumberFormat="1" applyFont="1" applyBorder="1"/>
    <xf numFmtId="43" fontId="19" fillId="0" borderId="5" xfId="1" applyFont="1" applyBorder="1"/>
    <xf numFmtId="43" fontId="2" fillId="0" borderId="18" xfId="1" applyFont="1" applyBorder="1"/>
    <xf numFmtId="4" fontId="14" fillId="0" borderId="0" xfId="0" applyNumberFormat="1" applyFont="1"/>
    <xf numFmtId="0" fontId="15" fillId="0" borderId="0" xfId="0" applyFont="1"/>
    <xf numFmtId="0" fontId="15" fillId="0" borderId="4" xfId="0" applyFont="1" applyBorder="1"/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3" fillId="0" borderId="14" xfId="1" applyFont="1" applyBorder="1"/>
    <xf numFmtId="43" fontId="10" fillId="0" borderId="16" xfId="0" applyNumberFormat="1" applyFont="1" applyBorder="1"/>
    <xf numFmtId="0" fontId="2" fillId="0" borderId="0" xfId="1" applyNumberFormat="1" applyFont="1" applyAlignment="1"/>
    <xf numFmtId="43" fontId="2" fillId="0" borderId="7" xfId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20" fillId="0" borderId="0" xfId="1" applyFont="1"/>
    <xf numFmtId="43" fontId="4" fillId="0" borderId="0" xfId="0" applyNumberFormat="1" applyFont="1"/>
    <xf numFmtId="43" fontId="2" fillId="0" borderId="13" xfId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43" fontId="7" fillId="0" borderId="0" xfId="0" applyNumberFormat="1" applyFont="1"/>
    <xf numFmtId="0" fontId="2" fillId="0" borderId="11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43" fontId="3" fillId="0" borderId="20" xfId="1" applyFont="1" applyBorder="1"/>
    <xf numFmtId="43" fontId="4" fillId="0" borderId="19" xfId="1" applyFont="1" applyBorder="1" applyAlignment="1">
      <alignment vertical="center"/>
    </xf>
    <xf numFmtId="43" fontId="7" fillId="0" borderId="0" xfId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43" fontId="3" fillId="0" borderId="0" xfId="0" applyNumberFormat="1" applyFont="1" applyFill="1" applyBorder="1" applyAlignment="1">
      <alignment vertical="center"/>
    </xf>
    <xf numFmtId="43" fontId="7" fillId="0" borderId="0" xfId="0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43" fontId="23" fillId="0" borderId="0" xfId="0" applyNumberFormat="1" applyFont="1" applyFill="1" applyBorder="1" applyAlignment="1">
      <alignment vertical="center"/>
    </xf>
    <xf numFmtId="43" fontId="25" fillId="0" borderId="0" xfId="1" applyFont="1" applyFill="1" applyBorder="1" applyAlignment="1">
      <alignment vertical="center"/>
    </xf>
    <xf numFmtId="43" fontId="26" fillId="0" borderId="0" xfId="0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43" fontId="27" fillId="0" borderId="4" xfId="1" applyFont="1" applyFill="1" applyBorder="1" applyAlignment="1">
      <alignment vertical="center"/>
    </xf>
    <xf numFmtId="43" fontId="28" fillId="0" borderId="11" xfId="1" applyFont="1" applyFill="1" applyBorder="1" applyAlignment="1">
      <alignment vertical="center"/>
    </xf>
    <xf numFmtId="43" fontId="29" fillId="0" borderId="5" xfId="0" applyNumberFormat="1" applyFont="1" applyFill="1" applyBorder="1" applyAlignment="1">
      <alignment vertical="center"/>
    </xf>
    <xf numFmtId="43" fontId="30" fillId="0" borderId="0" xfId="0" applyNumberFormat="1" applyFont="1" applyFill="1" applyBorder="1" applyAlignment="1">
      <alignment vertical="center"/>
    </xf>
    <xf numFmtId="43" fontId="28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43" fontId="3" fillId="0" borderId="9" xfId="1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5" fillId="0" borderId="11" xfId="0" applyFont="1" applyBorder="1"/>
    <xf numFmtId="43" fontId="31" fillId="0" borderId="0" xfId="1" applyFont="1"/>
    <xf numFmtId="43" fontId="4" fillId="2" borderId="0" xfId="0" applyNumberFormat="1" applyFont="1" applyFill="1"/>
    <xf numFmtId="43" fontId="32" fillId="2" borderId="0" xfId="0" applyNumberFormat="1" applyFont="1" applyFill="1"/>
    <xf numFmtId="17" fontId="2" fillId="0" borderId="11" xfId="0" applyNumberFormat="1" applyFont="1" applyBorder="1"/>
    <xf numFmtId="164" fontId="6" fillId="0" borderId="0" xfId="1" applyNumberFormat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3" fontId="4" fillId="0" borderId="0" xfId="0" applyNumberFormat="1" applyFont="1" applyBorder="1" applyAlignment="1">
      <alignment vertical="center"/>
    </xf>
    <xf numFmtId="43" fontId="3" fillId="0" borderId="0" xfId="1" applyFont="1" applyAlignment="1">
      <alignment horizontal="center"/>
    </xf>
    <xf numFmtId="43" fontId="33" fillId="0" borderId="0" xfId="1" applyFont="1"/>
    <xf numFmtId="43" fontId="33" fillId="2" borderId="0" xfId="1" applyFont="1" applyFill="1"/>
    <xf numFmtId="43" fontId="2" fillId="0" borderId="7" xfId="1" applyFont="1" applyBorder="1" applyAlignment="1">
      <alignment horizontal="center" vertical="center"/>
    </xf>
    <xf numFmtId="43" fontId="10" fillId="0" borderId="0" xfId="0" applyNumberFormat="1" applyFont="1" applyAlignment="1">
      <alignment horizontal="center"/>
    </xf>
    <xf numFmtId="164" fontId="10" fillId="0" borderId="16" xfId="0" applyNumberFormat="1" applyFont="1" applyBorder="1"/>
    <xf numFmtId="43" fontId="22" fillId="0" borderId="4" xfId="1" applyFont="1" applyFill="1" applyBorder="1" applyAlignment="1">
      <alignment vertical="center"/>
    </xf>
    <xf numFmtId="43" fontId="22" fillId="0" borderId="11" xfId="1" applyFont="1" applyFill="1" applyBorder="1" applyAlignment="1">
      <alignment vertical="center"/>
    </xf>
    <xf numFmtId="43" fontId="22" fillId="0" borderId="5" xfId="1" applyFont="1" applyFill="1" applyBorder="1" applyAlignment="1">
      <alignment vertical="center"/>
    </xf>
    <xf numFmtId="43" fontId="21" fillId="3" borderId="0" xfId="1" applyFont="1" applyFill="1" applyBorder="1" applyAlignment="1">
      <alignment vertical="center"/>
    </xf>
    <xf numFmtId="43" fontId="24" fillId="3" borderId="0" xfId="1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165" fontId="12" fillId="0" borderId="0" xfId="1" applyNumberFormat="1" applyFont="1" applyAlignment="1"/>
    <xf numFmtId="43" fontId="4" fillId="4" borderId="0" xfId="1" applyFont="1" applyFill="1"/>
    <xf numFmtId="165" fontId="35" fillId="4" borderId="0" xfId="1" applyNumberFormat="1" applyFont="1" applyFill="1"/>
    <xf numFmtId="165" fontId="12" fillId="0" borderId="0" xfId="1" applyNumberFormat="1" applyFont="1"/>
    <xf numFmtId="165" fontId="35" fillId="0" borderId="0" xfId="1" applyNumberFormat="1" applyFont="1"/>
    <xf numFmtId="165" fontId="14" fillId="0" borderId="0" xfId="1" applyNumberFormat="1" applyFont="1"/>
    <xf numFmtId="43" fontId="4" fillId="4" borderId="0" xfId="0" applyNumberFormat="1" applyFont="1" applyFill="1"/>
    <xf numFmtId="43" fontId="4" fillId="5" borderId="0" xfId="0" applyNumberFormat="1" applyFont="1" applyFill="1"/>
    <xf numFmtId="43" fontId="5" fillId="0" borderId="11" xfId="1" applyFont="1" applyBorder="1"/>
    <xf numFmtId="43" fontId="19" fillId="0" borderId="4" xfId="1" applyFont="1" applyBorder="1"/>
    <xf numFmtId="43" fontId="2" fillId="0" borderId="5" xfId="0" applyNumberFormat="1" applyFont="1" applyBorder="1"/>
    <xf numFmtId="43" fontId="3" fillId="6" borderId="0" xfId="1" applyFont="1" applyFill="1" applyBorder="1" applyAlignment="1">
      <alignment vertical="center"/>
    </xf>
    <xf numFmtId="43" fontId="23" fillId="6" borderId="0" xfId="1" applyFont="1" applyFill="1" applyBorder="1" applyAlignment="1">
      <alignment vertical="center"/>
    </xf>
    <xf numFmtId="164" fontId="5" fillId="0" borderId="0" xfId="1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vertical="center"/>
    </xf>
    <xf numFmtId="43" fontId="5" fillId="0" borderId="0" xfId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66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opLeftCell="A7" zoomScaleSheetLayoutView="100" workbookViewId="0">
      <selection activeCell="D38" sqref="D38"/>
    </sheetView>
  </sheetViews>
  <sheetFormatPr defaultColWidth="9" defaultRowHeight="24"/>
  <cols>
    <col min="1" max="1" width="3.28515625" style="3" customWidth="1"/>
    <col min="2" max="2" width="4.5703125" style="3" customWidth="1"/>
    <col min="3" max="3" width="5.42578125" style="3" customWidth="1"/>
    <col min="4" max="4" width="43.42578125" style="3" customWidth="1"/>
    <col min="5" max="5" width="17.28515625" style="23" customWidth="1"/>
    <col min="6" max="6" width="19.85546875" style="5" customWidth="1"/>
    <col min="7" max="7" width="20.140625" style="3" customWidth="1"/>
    <col min="8" max="8" width="14.42578125" style="3" customWidth="1"/>
    <col min="9" max="16384" width="9" style="3"/>
  </cols>
  <sheetData>
    <row r="1" spans="1:6">
      <c r="A1" s="220" t="s">
        <v>198</v>
      </c>
      <c r="B1" s="220"/>
      <c r="C1" s="220"/>
      <c r="D1" s="220"/>
      <c r="E1" s="220"/>
      <c r="F1" s="220"/>
    </row>
    <row r="2" spans="1:6">
      <c r="A2" s="220" t="s">
        <v>0</v>
      </c>
      <c r="B2" s="220"/>
      <c r="C2" s="220"/>
      <c r="D2" s="220"/>
      <c r="E2" s="220"/>
      <c r="F2" s="220"/>
    </row>
    <row r="3" spans="1:6">
      <c r="A3" s="220" t="s">
        <v>289</v>
      </c>
      <c r="B3" s="220"/>
      <c r="C3" s="220"/>
      <c r="D3" s="220"/>
      <c r="E3" s="220"/>
      <c r="F3" s="220"/>
    </row>
    <row r="4" spans="1:6">
      <c r="A4" s="149"/>
      <c r="B4" s="149"/>
      <c r="C4" s="149"/>
      <c r="D4" s="149"/>
      <c r="E4" s="149"/>
      <c r="F4" s="149"/>
    </row>
    <row r="5" spans="1:6">
      <c r="A5" s="221" t="s">
        <v>1</v>
      </c>
      <c r="B5" s="221"/>
      <c r="C5" s="221"/>
      <c r="D5" s="221"/>
      <c r="E5" s="221"/>
      <c r="F5" s="221"/>
    </row>
    <row r="6" spans="1:6">
      <c r="A6" s="22"/>
      <c r="B6" s="22"/>
      <c r="C6" s="22"/>
      <c r="D6" s="22"/>
      <c r="E6" s="22"/>
      <c r="F6" s="174" t="s">
        <v>46</v>
      </c>
    </row>
    <row r="7" spans="1:6">
      <c r="A7" s="22"/>
      <c r="B7" s="22"/>
      <c r="C7" s="22"/>
      <c r="D7" s="22"/>
      <c r="E7" s="106" t="s">
        <v>68</v>
      </c>
      <c r="F7" s="3"/>
    </row>
    <row r="8" spans="1:6" ht="21" customHeight="1">
      <c r="A8" s="22"/>
      <c r="B8" s="22"/>
      <c r="C8" s="22"/>
      <c r="D8" s="22"/>
      <c r="E8" s="106"/>
      <c r="F8" s="22"/>
    </row>
    <row r="9" spans="1:6" ht="24.75" thickBot="1">
      <c r="A9" s="9" t="s">
        <v>2</v>
      </c>
      <c r="B9" s="2"/>
      <c r="E9" s="175">
        <v>2</v>
      </c>
      <c r="F9" s="178">
        <f>+งบทรัพย์สิน!B35</f>
        <v>22637815.830000002</v>
      </c>
    </row>
    <row r="10" spans="1:6" ht="15" customHeight="1" thickTop="1">
      <c r="A10" s="2"/>
      <c r="B10" s="2"/>
      <c r="E10" s="175"/>
    </row>
    <row r="11" spans="1:6">
      <c r="A11" s="9" t="s">
        <v>1</v>
      </c>
      <c r="B11" s="2"/>
      <c r="E11" s="175"/>
    </row>
    <row r="12" spans="1:6">
      <c r="A12" s="2"/>
      <c r="B12" s="9" t="s">
        <v>69</v>
      </c>
      <c r="E12" s="175"/>
    </row>
    <row r="13" spans="1:6">
      <c r="C13" s="4" t="s">
        <v>3</v>
      </c>
      <c r="E13" s="175">
        <v>3</v>
      </c>
      <c r="F13" s="5">
        <v>19521409.449999999</v>
      </c>
    </row>
    <row r="14" spans="1:6">
      <c r="C14" s="4" t="s">
        <v>70</v>
      </c>
      <c r="E14" s="175">
        <v>4</v>
      </c>
      <c r="F14" s="5">
        <v>2260403.77</v>
      </c>
    </row>
    <row r="15" spans="1:6">
      <c r="C15" s="4" t="s">
        <v>4</v>
      </c>
      <c r="E15" s="175">
        <v>5</v>
      </c>
      <c r="F15" s="5">
        <v>44808.97</v>
      </c>
    </row>
    <row r="16" spans="1:6">
      <c r="C16" s="4" t="s">
        <v>5</v>
      </c>
      <c r="D16" s="4"/>
      <c r="E16" s="176">
        <v>6</v>
      </c>
      <c r="F16" s="5">
        <v>520000</v>
      </c>
    </row>
    <row r="17" spans="1:6">
      <c r="C17" s="9" t="s">
        <v>71</v>
      </c>
      <c r="E17" s="177"/>
      <c r="F17" s="25">
        <f>SUM(F13:F16)</f>
        <v>22346622.189999998</v>
      </c>
    </row>
    <row r="18" spans="1:6" ht="15" customHeight="1">
      <c r="C18" s="4"/>
      <c r="E18" s="24"/>
    </row>
    <row r="19" spans="1:6">
      <c r="B19" s="9" t="s">
        <v>244</v>
      </c>
      <c r="C19" s="4"/>
      <c r="E19" s="24"/>
    </row>
    <row r="20" spans="1:6">
      <c r="C20" s="9" t="s">
        <v>72</v>
      </c>
      <c r="F20" s="25">
        <f>SUM(F19)</f>
        <v>0</v>
      </c>
    </row>
    <row r="21" spans="1:6" ht="15" customHeight="1">
      <c r="C21" s="9"/>
      <c r="F21" s="158"/>
    </row>
    <row r="22" spans="1:6" ht="24.75" thickBot="1">
      <c r="A22" s="26" t="s">
        <v>6</v>
      </c>
      <c r="E22" s="24"/>
      <c r="F22" s="178">
        <f>+F17+F20</f>
        <v>22346622.189999998</v>
      </c>
    </row>
    <row r="23" spans="1:6" ht="24.75" thickTop="1">
      <c r="C23" s="4"/>
    </row>
    <row r="24" spans="1:6">
      <c r="C24" s="4"/>
    </row>
    <row r="25" spans="1:6">
      <c r="C25" s="4"/>
    </row>
    <row r="26" spans="1:6">
      <c r="C26" s="4"/>
    </row>
    <row r="27" spans="1:6">
      <c r="C27" s="4"/>
    </row>
    <row r="28" spans="1:6">
      <c r="C28" s="4"/>
    </row>
    <row r="29" spans="1:6">
      <c r="C29" s="4"/>
    </row>
    <row r="30" spans="1:6">
      <c r="C30" s="4"/>
    </row>
    <row r="31" spans="1:6">
      <c r="C31" s="4"/>
    </row>
    <row r="32" spans="1:6">
      <c r="C32" s="4"/>
    </row>
    <row r="33" spans="1:6">
      <c r="C33" s="4"/>
    </row>
    <row r="34" spans="1:6">
      <c r="C34" s="4"/>
    </row>
    <row r="35" spans="1:6">
      <c r="A35" s="220" t="str">
        <f>A1</f>
        <v>องค์การบริหารส่วนตำบลท่าซอม</v>
      </c>
      <c r="B35" s="220"/>
      <c r="C35" s="220"/>
      <c r="D35" s="220"/>
      <c r="E35" s="220"/>
      <c r="F35" s="220"/>
    </row>
    <row r="36" spans="1:6">
      <c r="A36" s="220" t="s">
        <v>0</v>
      </c>
      <c r="B36" s="220"/>
      <c r="C36" s="220"/>
      <c r="D36" s="220"/>
      <c r="E36" s="220"/>
      <c r="F36" s="220"/>
    </row>
    <row r="37" spans="1:6">
      <c r="A37" s="220" t="s">
        <v>289</v>
      </c>
      <c r="B37" s="220"/>
      <c r="C37" s="220"/>
      <c r="D37" s="220"/>
      <c r="E37" s="220"/>
      <c r="F37" s="220"/>
    </row>
    <row r="38" spans="1:6">
      <c r="A38" s="149"/>
      <c r="B38" s="149"/>
      <c r="C38" s="149"/>
      <c r="D38" s="149"/>
      <c r="E38" s="149"/>
      <c r="F38" s="149"/>
    </row>
    <row r="39" spans="1:6">
      <c r="A39" s="221" t="s">
        <v>17</v>
      </c>
      <c r="B39" s="221"/>
      <c r="C39" s="221"/>
      <c r="D39" s="221"/>
      <c r="E39" s="221"/>
      <c r="F39" s="221"/>
    </row>
    <row r="40" spans="1:6">
      <c r="A40" s="22"/>
      <c r="B40" s="22"/>
      <c r="C40" s="22"/>
      <c r="D40" s="22"/>
      <c r="E40" s="22"/>
      <c r="F40" s="174" t="s">
        <v>46</v>
      </c>
    </row>
    <row r="41" spans="1:6">
      <c r="A41" s="22"/>
      <c r="B41" s="22"/>
      <c r="C41" s="22"/>
      <c r="D41" s="22"/>
      <c r="E41" s="106" t="s">
        <v>68</v>
      </c>
      <c r="F41" s="3"/>
    </row>
    <row r="42" spans="1:6" ht="15" customHeight="1">
      <c r="A42" s="22"/>
      <c r="B42" s="22"/>
      <c r="C42" s="22"/>
      <c r="D42" s="22"/>
      <c r="E42" s="106"/>
      <c r="F42" s="22"/>
    </row>
    <row r="43" spans="1:6" ht="24.75" thickBot="1">
      <c r="A43" s="9" t="s">
        <v>8</v>
      </c>
      <c r="B43" s="2"/>
      <c r="E43" s="175">
        <v>2</v>
      </c>
      <c r="F43" s="178">
        <f>+งบทรัพย์สิน!D35</f>
        <v>22637815.829999998</v>
      </c>
    </row>
    <row r="44" spans="1:6" ht="15" customHeight="1" thickTop="1">
      <c r="A44" s="9"/>
      <c r="B44" s="2"/>
      <c r="E44" s="175"/>
    </row>
    <row r="45" spans="1:6">
      <c r="A45" s="26" t="s">
        <v>7</v>
      </c>
      <c r="B45" s="4"/>
      <c r="C45" s="2"/>
      <c r="E45" s="175"/>
    </row>
    <row r="46" spans="1:6">
      <c r="A46" s="4"/>
      <c r="B46" s="9" t="s">
        <v>73</v>
      </c>
      <c r="C46" s="2"/>
      <c r="E46" s="175"/>
    </row>
    <row r="47" spans="1:6">
      <c r="A47" s="4"/>
      <c r="B47" s="9"/>
      <c r="C47" s="4" t="s">
        <v>10</v>
      </c>
      <c r="E47" s="175">
        <v>7</v>
      </c>
      <c r="F47" s="5">
        <v>2666849.2000000002</v>
      </c>
    </row>
    <row r="48" spans="1:6">
      <c r="A48" s="4"/>
      <c r="B48" s="9"/>
      <c r="C48" s="4" t="s">
        <v>9</v>
      </c>
      <c r="E48" s="175">
        <v>8</v>
      </c>
      <c r="F48" s="5">
        <v>1679183.41</v>
      </c>
    </row>
    <row r="49" spans="1:7">
      <c r="C49" s="2" t="s">
        <v>11</v>
      </c>
      <c r="F49" s="5">
        <v>0</v>
      </c>
    </row>
    <row r="50" spans="1:7">
      <c r="C50" s="9" t="s">
        <v>74</v>
      </c>
      <c r="F50" s="158">
        <f>SUM(F47:F49)</f>
        <v>4346032.6100000003</v>
      </c>
    </row>
    <row r="51" spans="1:7" ht="15" customHeight="1"/>
    <row r="52" spans="1:7">
      <c r="B52" s="9" t="s">
        <v>75</v>
      </c>
    </row>
    <row r="53" spans="1:7">
      <c r="C53" s="9" t="s">
        <v>76</v>
      </c>
      <c r="F53" s="25">
        <f>SUM(F52)</f>
        <v>0</v>
      </c>
    </row>
    <row r="54" spans="1:7">
      <c r="B54" s="7" t="s">
        <v>12</v>
      </c>
      <c r="F54" s="25">
        <f>+F50+F53</f>
        <v>4346032.6100000003</v>
      </c>
    </row>
    <row r="55" spans="1:7" ht="15" customHeight="1">
      <c r="B55" s="7"/>
    </row>
    <row r="56" spans="1:7">
      <c r="A56" s="7" t="s">
        <v>13</v>
      </c>
    </row>
    <row r="57" spans="1:7">
      <c r="C57" s="4" t="s">
        <v>13</v>
      </c>
      <c r="E57" s="175">
        <v>9</v>
      </c>
      <c r="F57" s="5">
        <v>7723031.3600000003</v>
      </c>
    </row>
    <row r="58" spans="1:7">
      <c r="C58" s="4" t="s">
        <v>14</v>
      </c>
      <c r="F58" s="5">
        <v>10277558.220000001</v>
      </c>
    </row>
    <row r="59" spans="1:7">
      <c r="C59" s="26" t="s">
        <v>15</v>
      </c>
      <c r="F59" s="25">
        <f>SUM(F57:F58)</f>
        <v>18000589.580000002</v>
      </c>
    </row>
    <row r="60" spans="1:7" ht="15" customHeight="1">
      <c r="C60" s="26"/>
      <c r="F60" s="158"/>
    </row>
    <row r="61" spans="1:7" ht="24.75" thickBot="1">
      <c r="A61" s="26" t="s">
        <v>16</v>
      </c>
      <c r="C61" s="4"/>
      <c r="E61" s="24"/>
      <c r="F61" s="178">
        <f>+F54+F59</f>
        <v>22346622.190000001</v>
      </c>
      <c r="G61" s="189">
        <f>+F22-F61</f>
        <v>0</v>
      </c>
    </row>
    <row r="62" spans="1:7" ht="24.75" thickTop="1">
      <c r="A62" s="26"/>
      <c r="C62" s="4"/>
      <c r="E62" s="24"/>
      <c r="F62" s="179"/>
    </row>
    <row r="63" spans="1:7">
      <c r="A63" s="26"/>
      <c r="C63" s="4"/>
      <c r="E63" s="24"/>
      <c r="F63" s="179"/>
    </row>
    <row r="65" spans="1:6">
      <c r="A65" s="3" t="s">
        <v>288</v>
      </c>
    </row>
    <row r="66" spans="1:6">
      <c r="A66" s="3" t="s">
        <v>287</v>
      </c>
      <c r="E66" s="3"/>
      <c r="F66" s="3"/>
    </row>
    <row r="67" spans="1:6">
      <c r="A67" s="3" t="s">
        <v>286</v>
      </c>
      <c r="E67" s="3"/>
      <c r="F67" s="3"/>
    </row>
  </sheetData>
  <mergeCells count="8">
    <mergeCell ref="A1:F1"/>
    <mergeCell ref="A2:F2"/>
    <mergeCell ref="A3:F3"/>
    <mergeCell ref="A5:F5"/>
    <mergeCell ref="A39:F39"/>
    <mergeCell ref="A35:F35"/>
    <mergeCell ref="A36:F36"/>
    <mergeCell ref="A37:F37"/>
  </mergeCells>
  <pageMargins left="0.82" right="0.28000000000000003" top="0.74803149606299213" bottom="0.74803149606299213" header="0.31496062992125984" footer="0.31496062992125984"/>
  <pageSetup paperSize="9" scale="9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9"/>
  <sheetViews>
    <sheetView zoomScaleSheetLayoutView="82" workbookViewId="0">
      <selection activeCell="F38" sqref="F38"/>
    </sheetView>
  </sheetViews>
  <sheetFormatPr defaultColWidth="9" defaultRowHeight="24"/>
  <cols>
    <col min="1" max="1" width="36.7109375" style="9" customWidth="1"/>
    <col min="2" max="2" width="21.140625" style="9" customWidth="1"/>
    <col min="3" max="3" width="36.5703125" style="9" customWidth="1"/>
    <col min="4" max="4" width="21.140625" style="9" customWidth="1"/>
    <col min="5" max="5" width="9" style="9"/>
    <col min="6" max="6" width="17.28515625" style="164" customWidth="1"/>
    <col min="7" max="7" width="9" style="9"/>
    <col min="8" max="8" width="15.85546875" style="9" customWidth="1"/>
    <col min="9" max="9" width="13.42578125" style="9" customWidth="1"/>
    <col min="10" max="16384" width="9" style="9"/>
  </cols>
  <sheetData>
    <row r="1" spans="1:7">
      <c r="A1" s="222" t="str">
        <f>งบแสดงฐานะการเงิน!A1</f>
        <v>องค์การบริหารส่วนตำบลท่าซอม</v>
      </c>
      <c r="B1" s="222"/>
      <c r="C1" s="222"/>
      <c r="D1" s="222"/>
    </row>
    <row r="2" spans="1:7">
      <c r="A2" s="222" t="s">
        <v>39</v>
      </c>
      <c r="B2" s="222"/>
      <c r="C2" s="222"/>
      <c r="D2" s="222"/>
    </row>
    <row r="3" spans="1:7">
      <c r="A3" s="222" t="s">
        <v>289</v>
      </c>
      <c r="B3" s="222"/>
      <c r="C3" s="222"/>
      <c r="D3" s="222"/>
    </row>
    <row r="4" spans="1:7">
      <c r="A4" s="109" t="s">
        <v>194</v>
      </c>
      <c r="D4" s="8" t="str">
        <f>งบแสดงฐานะการเงิน!F6</f>
        <v>หน่วย : บาท</v>
      </c>
    </row>
    <row r="5" spans="1:7" ht="24" customHeight="1">
      <c r="A5" s="223" t="s">
        <v>52</v>
      </c>
      <c r="B5" s="223" t="s">
        <v>54</v>
      </c>
      <c r="C5" s="223" t="s">
        <v>56</v>
      </c>
      <c r="D5" s="223"/>
    </row>
    <row r="6" spans="1:7" ht="23.25" customHeight="1">
      <c r="A6" s="223"/>
      <c r="B6" s="223"/>
      <c r="C6" s="21" t="s">
        <v>78</v>
      </c>
      <c r="D6" s="10" t="s">
        <v>47</v>
      </c>
    </row>
    <row r="7" spans="1:7">
      <c r="A7" s="11" t="s">
        <v>51</v>
      </c>
      <c r="B7" s="11"/>
      <c r="C7" s="11"/>
      <c r="D7" s="16"/>
    </row>
    <row r="8" spans="1:7">
      <c r="A8" s="12" t="s">
        <v>18</v>
      </c>
      <c r="B8" s="18">
        <f>125000+25500+124000</f>
        <v>274500</v>
      </c>
      <c r="C8" s="14" t="s">
        <v>40</v>
      </c>
      <c r="D8" s="18">
        <f>907550+3104303+18700+2890+20940+99600+134900+36800+11500+3700+59000+89000+48000+5800+54000+265000+166000+90000+17500+9800+85000-46000+431200-319990</f>
        <v>5295193</v>
      </c>
    </row>
    <row r="9" spans="1:7">
      <c r="A9" s="12" t="s">
        <v>19</v>
      </c>
      <c r="B9" s="18">
        <f>10518150-348900+20940+99600+59000+48000+2544534.49+594552.56+158000+800000+1980000+54000+265000+166000+85000+91000</f>
        <v>17134877.050000001</v>
      </c>
      <c r="C9" s="14" t="s">
        <v>41</v>
      </c>
      <c r="D9" s="19">
        <v>0</v>
      </c>
    </row>
    <row r="10" spans="1:7">
      <c r="A10" s="12" t="s">
        <v>20</v>
      </c>
      <c r="B10" s="18">
        <v>0</v>
      </c>
      <c r="C10" s="14" t="s">
        <v>42</v>
      </c>
      <c r="D10" s="19">
        <v>0</v>
      </c>
    </row>
    <row r="11" spans="1:7">
      <c r="A11" s="12"/>
      <c r="B11" s="18"/>
      <c r="C11" s="14" t="s">
        <v>43</v>
      </c>
      <c r="D11" s="19">
        <v>0</v>
      </c>
      <c r="G11" s="108"/>
    </row>
    <row r="12" spans="1:7">
      <c r="A12" s="12"/>
      <c r="B12" s="18"/>
      <c r="C12" s="14" t="s">
        <v>44</v>
      </c>
      <c r="D12" s="19">
        <f>2549850+4309499.78+100000-348900+2544534.49+594552.56+158000+1980000</f>
        <v>11887536.83</v>
      </c>
    </row>
    <row r="13" spans="1:7">
      <c r="A13" s="12"/>
      <c r="B13" s="18"/>
      <c r="C13" s="15" t="s">
        <v>67</v>
      </c>
      <c r="D13" s="19">
        <f>4655086+800000</f>
        <v>5455086</v>
      </c>
    </row>
    <row r="14" spans="1:7">
      <c r="A14" s="12"/>
      <c r="B14" s="18"/>
      <c r="C14" s="15" t="s">
        <v>14</v>
      </c>
      <c r="D14" s="18">
        <v>0</v>
      </c>
    </row>
    <row r="15" spans="1:7">
      <c r="A15" s="12"/>
      <c r="B15" s="18"/>
      <c r="D15" s="18"/>
    </row>
    <row r="16" spans="1:7">
      <c r="A16" s="13" t="s">
        <v>53</v>
      </c>
      <c r="B16" s="13"/>
      <c r="C16" s="13"/>
      <c r="D16" s="18"/>
    </row>
    <row r="17" spans="1:4">
      <c r="A17" s="12" t="s">
        <v>21</v>
      </c>
      <c r="B17" s="18">
        <f>1340260+18700+134900+89000+5800+90000+17500+9800+71900-800-37500-37500-18000-1600</f>
        <v>1682460</v>
      </c>
      <c r="C17" s="13"/>
      <c r="D17" s="18"/>
    </row>
    <row r="18" spans="1:4">
      <c r="A18" s="12" t="s">
        <v>22</v>
      </c>
      <c r="B18" s="18">
        <v>0</v>
      </c>
      <c r="C18" s="13"/>
      <c r="D18" s="18"/>
    </row>
    <row r="19" spans="1:4">
      <c r="A19" s="12" t="s">
        <v>23</v>
      </c>
      <c r="B19" s="18">
        <v>1512000</v>
      </c>
      <c r="C19" s="13"/>
      <c r="D19" s="18"/>
    </row>
    <row r="20" spans="1:4">
      <c r="A20" s="12" t="s">
        <v>24</v>
      </c>
      <c r="B20" s="18">
        <v>0</v>
      </c>
      <c r="C20" s="13"/>
      <c r="D20" s="18"/>
    </row>
    <row r="21" spans="1:4">
      <c r="A21" s="12" t="s">
        <v>25</v>
      </c>
      <c r="B21" s="18">
        <v>641320</v>
      </c>
      <c r="C21" s="13"/>
      <c r="D21" s="17"/>
    </row>
    <row r="22" spans="1:4">
      <c r="A22" s="12" t="s">
        <v>26</v>
      </c>
      <c r="B22" s="18">
        <f>361568.78-5000-8900-2800-2800</f>
        <v>342068.78</v>
      </c>
      <c r="C22" s="13"/>
      <c r="D22" s="17"/>
    </row>
    <row r="23" spans="1:4">
      <c r="A23" s="12" t="s">
        <v>27</v>
      </c>
      <c r="B23" s="18">
        <f>53230+2890-15990</f>
        <v>40130</v>
      </c>
      <c r="C23" s="13"/>
      <c r="D23" s="17"/>
    </row>
    <row r="24" spans="1:4">
      <c r="A24" s="12" t="s">
        <v>28</v>
      </c>
      <c r="B24" s="18">
        <v>87000</v>
      </c>
      <c r="C24" s="13"/>
      <c r="D24" s="17"/>
    </row>
    <row r="25" spans="1:4">
      <c r="A25" s="12" t="s">
        <v>29</v>
      </c>
      <c r="B25" s="18">
        <v>17890</v>
      </c>
      <c r="C25" s="13"/>
      <c r="D25" s="17"/>
    </row>
    <row r="26" spans="1:4">
      <c r="A26" s="12" t="s">
        <v>30</v>
      </c>
      <c r="B26" s="18">
        <v>0</v>
      </c>
      <c r="C26" s="13"/>
      <c r="D26" s="17"/>
    </row>
    <row r="27" spans="1:4">
      <c r="A27" s="12" t="s">
        <v>31</v>
      </c>
      <c r="B27" s="18">
        <v>0</v>
      </c>
      <c r="C27" s="13"/>
      <c r="D27" s="17"/>
    </row>
    <row r="28" spans="1:4">
      <c r="A28" s="12" t="s">
        <v>32</v>
      </c>
      <c r="B28" s="18">
        <v>0</v>
      </c>
      <c r="C28" s="13"/>
      <c r="D28" s="17"/>
    </row>
    <row r="29" spans="1:4">
      <c r="A29" s="12" t="s">
        <v>33</v>
      </c>
      <c r="B29" s="18">
        <f>61850-7000</f>
        <v>54850</v>
      </c>
      <c r="C29" s="13"/>
      <c r="D29" s="17"/>
    </row>
    <row r="30" spans="1:4">
      <c r="A30" s="12" t="s">
        <v>34</v>
      </c>
      <c r="B30" s="18">
        <v>0</v>
      </c>
      <c r="C30" s="13"/>
      <c r="D30" s="17"/>
    </row>
    <row r="31" spans="1:4">
      <c r="A31" s="12" t="s">
        <v>35</v>
      </c>
      <c r="B31" s="18">
        <f>42900-42900</f>
        <v>0</v>
      </c>
      <c r="C31" s="13"/>
      <c r="D31" s="17"/>
    </row>
    <row r="32" spans="1:4">
      <c r="A32" s="12" t="s">
        <v>36</v>
      </c>
      <c r="B32" s="18">
        <f>517240+36800+11500+3700+20700+22000+16700+53000+3600+2800-13900-13900</f>
        <v>660240</v>
      </c>
      <c r="C32" s="13"/>
      <c r="D32" s="17"/>
    </row>
    <row r="33" spans="1:9">
      <c r="A33" s="12" t="s">
        <v>37</v>
      </c>
      <c r="B33" s="18">
        <v>0</v>
      </c>
      <c r="C33" s="13"/>
      <c r="D33" s="17"/>
    </row>
    <row r="34" spans="1:9">
      <c r="A34" s="12" t="s">
        <v>77</v>
      </c>
      <c r="B34" s="18">
        <f>347880-3100-154300</f>
        <v>190480</v>
      </c>
      <c r="C34" s="13"/>
      <c r="D34" s="17"/>
    </row>
    <row r="35" spans="1:9" ht="24.75" thickBot="1">
      <c r="A35" s="20" t="s">
        <v>38</v>
      </c>
      <c r="B35" s="27">
        <f>SUM(B8:B34)</f>
        <v>22637815.830000002</v>
      </c>
      <c r="C35" s="21" t="s">
        <v>79</v>
      </c>
      <c r="D35" s="28">
        <f>SUM(D8:D34)</f>
        <v>22637815.829999998</v>
      </c>
    </row>
    <row r="36" spans="1:9" ht="24.75" thickTop="1">
      <c r="F36" s="159">
        <f>+B35-D35</f>
        <v>0</v>
      </c>
      <c r="G36" s="9" t="s">
        <v>250</v>
      </c>
    </row>
    <row r="37" spans="1:9">
      <c r="F37" s="199">
        <v>22637815.829999998</v>
      </c>
      <c r="G37" s="160" t="s">
        <v>252</v>
      </c>
    </row>
    <row r="38" spans="1:9">
      <c r="B38" s="162"/>
      <c r="D38" s="162"/>
      <c r="F38" s="164">
        <f>+B35</f>
        <v>22637815.830000002</v>
      </c>
      <c r="G38" s="9" t="s">
        <v>285</v>
      </c>
    </row>
    <row r="39" spans="1:9">
      <c r="F39" s="159">
        <f>+F37-F38</f>
        <v>0</v>
      </c>
      <c r="G39" s="107" t="s">
        <v>251</v>
      </c>
      <c r="H39" s="107"/>
      <c r="I39" s="162">
        <f>+B31</f>
        <v>0</v>
      </c>
    </row>
    <row r="40" spans="1:9">
      <c r="B40" s="162"/>
      <c r="D40" s="162"/>
      <c r="F40" s="196">
        <v>25500</v>
      </c>
      <c r="I40" s="162">
        <f>+I39+F39</f>
        <v>0</v>
      </c>
    </row>
    <row r="41" spans="1:9">
      <c r="F41" s="197">
        <v>124000</v>
      </c>
    </row>
    <row r="42" spans="1:9">
      <c r="F42" s="197">
        <v>91000</v>
      </c>
    </row>
    <row r="43" spans="1:9">
      <c r="F43" s="197">
        <v>16600</v>
      </c>
    </row>
    <row r="44" spans="1:9">
      <c r="F44" s="197">
        <v>27650</v>
      </c>
    </row>
    <row r="45" spans="1:9">
      <c r="F45" s="197">
        <v>27650</v>
      </c>
    </row>
    <row r="46" spans="1:9">
      <c r="F46" s="197">
        <v>20700</v>
      </c>
      <c r="H46" s="162"/>
    </row>
    <row r="47" spans="1:9">
      <c r="F47" s="197">
        <v>22000</v>
      </c>
      <c r="H47" s="162">
        <f>SUM(F40:F51)</f>
        <v>431200</v>
      </c>
      <c r="I47" s="9" t="s">
        <v>255</v>
      </c>
    </row>
    <row r="48" spans="1:9">
      <c r="F48" s="197">
        <v>16700</v>
      </c>
      <c r="H48" s="169">
        <f>190700+240500</f>
        <v>431200</v>
      </c>
      <c r="I48" s="168" t="s">
        <v>253</v>
      </c>
    </row>
    <row r="49" spans="5:11" ht="26.25">
      <c r="F49" s="197">
        <v>53000</v>
      </c>
      <c r="H49" s="170">
        <v>0</v>
      </c>
      <c r="I49" s="160" t="s">
        <v>254</v>
      </c>
      <c r="J49" s="160"/>
    </row>
    <row r="50" spans="5:11">
      <c r="F50" s="197">
        <v>3600</v>
      </c>
      <c r="H50" s="171">
        <f>+H48+H49</f>
        <v>431200</v>
      </c>
    </row>
    <row r="51" spans="5:11">
      <c r="F51" s="198">
        <v>2800</v>
      </c>
      <c r="H51" s="162">
        <f>+H47-H50</f>
        <v>0</v>
      </c>
      <c r="I51" s="9" t="s">
        <v>256</v>
      </c>
    </row>
    <row r="52" spans="5:11">
      <c r="F52" s="164">
        <f>SUM(F40:F51)</f>
        <v>431200</v>
      </c>
    </row>
    <row r="53" spans="5:11" ht="26.25">
      <c r="H53" s="200">
        <v>22526605.829999998</v>
      </c>
      <c r="I53" s="161" t="s">
        <v>290</v>
      </c>
    </row>
    <row r="54" spans="5:11" ht="26.25">
      <c r="H54" s="166">
        <f>800+15990+13500+22000+7600+44500+44500+13900+13900+37500+37500+18000+5000+8900+2800+2800+1600+1500+1500+750+750+1500+700+700+700+700+7000+3500+1600+1600+1600+1600+1600+1900</f>
        <v>319990</v>
      </c>
      <c r="I54" s="107" t="s">
        <v>291</v>
      </c>
      <c r="K54" s="201"/>
    </row>
    <row r="55" spans="5:11" ht="26.25">
      <c r="E55" s="9">
        <v>1</v>
      </c>
      <c r="F55" s="164">
        <v>800</v>
      </c>
      <c r="H55" s="167">
        <f>+H53-H54</f>
        <v>22206615.829999998</v>
      </c>
      <c r="I55" s="9" t="s">
        <v>113</v>
      </c>
    </row>
    <row r="56" spans="5:11" ht="26.25">
      <c r="E56" s="9">
        <v>2</v>
      </c>
      <c r="F56" s="164">
        <v>15990</v>
      </c>
      <c r="H56" s="172">
        <f>+H48</f>
        <v>431200</v>
      </c>
      <c r="I56" s="168" t="s">
        <v>257</v>
      </c>
    </row>
    <row r="57" spans="5:11" ht="26.25">
      <c r="E57" s="9">
        <v>3</v>
      </c>
      <c r="F57" s="213">
        <v>13500</v>
      </c>
      <c r="H57" s="165">
        <f>+H55+H56</f>
        <v>22637815.829999998</v>
      </c>
      <c r="I57" s="9" t="s">
        <v>113</v>
      </c>
    </row>
    <row r="58" spans="5:11" ht="26.25">
      <c r="E58" s="9">
        <v>4</v>
      </c>
      <c r="F58" s="213">
        <v>22000</v>
      </c>
      <c r="H58" s="173">
        <f>+H49</f>
        <v>0</v>
      </c>
      <c r="I58" s="160" t="s">
        <v>258</v>
      </c>
    </row>
    <row r="59" spans="5:11" ht="26.25">
      <c r="E59" s="9">
        <v>5</v>
      </c>
      <c r="F59" s="213">
        <v>7600</v>
      </c>
      <c r="H59" s="167">
        <f>+H57+H58</f>
        <v>22637815.829999998</v>
      </c>
      <c r="I59" s="9" t="s">
        <v>292</v>
      </c>
    </row>
    <row r="60" spans="5:11">
      <c r="E60" s="9">
        <v>6</v>
      </c>
      <c r="F60" s="213">
        <v>44500</v>
      </c>
      <c r="H60" s="163">
        <f>+B35</f>
        <v>22637815.830000002</v>
      </c>
      <c r="I60" s="107" t="s">
        <v>259</v>
      </c>
    </row>
    <row r="61" spans="5:11">
      <c r="E61" s="9">
        <v>7</v>
      </c>
      <c r="F61" s="213">
        <v>44500</v>
      </c>
      <c r="H61" s="162">
        <f>+H59-H60</f>
        <v>0</v>
      </c>
      <c r="I61" s="9" t="s">
        <v>250</v>
      </c>
    </row>
    <row r="62" spans="5:11">
      <c r="E62" s="9">
        <v>8</v>
      </c>
      <c r="F62" s="164">
        <v>13900</v>
      </c>
    </row>
    <row r="63" spans="5:11">
      <c r="E63" s="9">
        <v>9</v>
      </c>
      <c r="F63" s="164">
        <v>13900</v>
      </c>
    </row>
    <row r="64" spans="5:11">
      <c r="E64" s="9">
        <v>10</v>
      </c>
      <c r="F64" s="164">
        <v>37500</v>
      </c>
    </row>
    <row r="65" spans="5:6">
      <c r="E65" s="9">
        <v>11</v>
      </c>
      <c r="F65" s="164">
        <v>37500</v>
      </c>
    </row>
    <row r="66" spans="5:6">
      <c r="E66" s="9">
        <v>12</v>
      </c>
      <c r="F66" s="164">
        <v>18000</v>
      </c>
    </row>
    <row r="67" spans="5:6">
      <c r="E67" s="9">
        <v>13</v>
      </c>
      <c r="F67" s="164">
        <v>5000</v>
      </c>
    </row>
    <row r="68" spans="5:6">
      <c r="E68" s="9">
        <v>14</v>
      </c>
      <c r="F68" s="164">
        <v>8900</v>
      </c>
    </row>
    <row r="69" spans="5:6">
      <c r="E69" s="9">
        <v>15</v>
      </c>
      <c r="F69" s="164">
        <v>2800</v>
      </c>
    </row>
    <row r="70" spans="5:6">
      <c r="E70" s="9">
        <v>16</v>
      </c>
      <c r="F70" s="164">
        <v>2800</v>
      </c>
    </row>
    <row r="71" spans="5:6">
      <c r="E71" s="9">
        <v>17</v>
      </c>
      <c r="F71" s="164">
        <v>1600</v>
      </c>
    </row>
    <row r="72" spans="5:6">
      <c r="E72" s="9">
        <v>18</v>
      </c>
      <c r="F72" s="213">
        <v>1500</v>
      </c>
    </row>
    <row r="73" spans="5:6">
      <c r="E73" s="9">
        <v>19</v>
      </c>
      <c r="F73" s="213">
        <v>1500</v>
      </c>
    </row>
    <row r="74" spans="5:6">
      <c r="E74" s="9">
        <v>20</v>
      </c>
      <c r="F74" s="213">
        <v>750</v>
      </c>
    </row>
    <row r="75" spans="5:6">
      <c r="E75" s="9">
        <v>21</v>
      </c>
      <c r="F75" s="213">
        <v>750</v>
      </c>
    </row>
    <row r="76" spans="5:6">
      <c r="E76" s="9">
        <v>22</v>
      </c>
      <c r="F76" s="213">
        <v>1500</v>
      </c>
    </row>
    <row r="77" spans="5:6">
      <c r="E77" s="9">
        <v>23</v>
      </c>
      <c r="F77" s="213">
        <v>700</v>
      </c>
    </row>
    <row r="78" spans="5:6">
      <c r="E78" s="9">
        <v>24</v>
      </c>
      <c r="F78" s="213">
        <v>700</v>
      </c>
    </row>
    <row r="79" spans="5:6">
      <c r="E79" s="9">
        <v>25</v>
      </c>
      <c r="F79" s="213">
        <v>700</v>
      </c>
    </row>
    <row r="80" spans="5:6">
      <c r="E80" s="9">
        <v>26</v>
      </c>
      <c r="F80" s="213">
        <v>700</v>
      </c>
    </row>
    <row r="81" spans="5:6">
      <c r="E81" s="9">
        <v>27</v>
      </c>
      <c r="F81" s="164">
        <v>7000</v>
      </c>
    </row>
    <row r="82" spans="5:6">
      <c r="E82" s="9">
        <v>28</v>
      </c>
      <c r="F82" s="213">
        <v>3500</v>
      </c>
    </row>
    <row r="83" spans="5:6">
      <c r="E83" s="9">
        <v>29</v>
      </c>
      <c r="F83" s="213">
        <f>1600+1900</f>
        <v>3500</v>
      </c>
    </row>
    <row r="84" spans="5:6">
      <c r="E84" s="9">
        <v>30</v>
      </c>
      <c r="F84" s="213">
        <v>1600</v>
      </c>
    </row>
    <row r="85" spans="5:6">
      <c r="E85" s="9">
        <v>31</v>
      </c>
      <c r="F85" s="213">
        <v>1600</v>
      </c>
    </row>
    <row r="86" spans="5:6">
      <c r="E86" s="9">
        <v>32</v>
      </c>
      <c r="F86" s="213">
        <v>1600</v>
      </c>
    </row>
    <row r="87" spans="5:6" ht="26.25">
      <c r="E87" s="9">
        <v>33</v>
      </c>
      <c r="F87" s="214">
        <v>1600</v>
      </c>
    </row>
    <row r="88" spans="5:6">
      <c r="F88" s="159">
        <f>SUM(F55:F87)</f>
        <v>319990</v>
      </c>
    </row>
    <row r="89" spans="5:6">
      <c r="E89" s="9" t="s">
        <v>322</v>
      </c>
      <c r="F89" s="164">
        <f>+F57+F58+F59+F60+F61+F72+F73+F74+F75+F76+F77+F78+F79+F80+F82+F83+F84+F85+F86+F87</f>
        <v>154300</v>
      </c>
    </row>
  </sheetData>
  <mergeCells count="6">
    <mergeCell ref="A1:D1"/>
    <mergeCell ref="A5:A6"/>
    <mergeCell ref="C5:D5"/>
    <mergeCell ref="A3:D3"/>
    <mergeCell ref="A2:D2"/>
    <mergeCell ref="B5:B6"/>
  </mergeCells>
  <pageMargins left="1.07" right="0.31496062992125984" top="0.74803149606299213" bottom="0.74803149606299213" header="0.31496062992125984" footer="0.31496062992125984"/>
  <pageSetup paperSize="9" scale="7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E19" sqref="E19"/>
    </sheetView>
  </sheetViews>
  <sheetFormatPr defaultColWidth="9" defaultRowHeight="24"/>
  <cols>
    <col min="1" max="1" width="9" style="6" customWidth="1"/>
    <col min="2" max="2" width="11.7109375" style="6" bestFit="1" customWidth="1"/>
    <col min="3" max="4" width="9" style="6"/>
    <col min="5" max="5" width="36.7109375" style="6" customWidth="1"/>
    <col min="6" max="6" width="17.7109375" style="6" customWidth="1"/>
    <col min="7" max="16384" width="9" style="6"/>
  </cols>
  <sheetData>
    <row r="1" spans="1:8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33"/>
      <c r="H1" s="33"/>
    </row>
    <row r="2" spans="1:8">
      <c r="A2" s="224" t="s">
        <v>80</v>
      </c>
      <c r="B2" s="224"/>
      <c r="C2" s="224"/>
      <c r="D2" s="224"/>
      <c r="E2" s="224"/>
      <c r="F2" s="224"/>
      <c r="G2" s="33"/>
      <c r="H2" s="33"/>
    </row>
    <row r="3" spans="1:8">
      <c r="A3" s="224" t="s">
        <v>293</v>
      </c>
      <c r="B3" s="224"/>
      <c r="C3" s="224"/>
      <c r="D3" s="224"/>
      <c r="E3" s="224"/>
      <c r="F3" s="224"/>
      <c r="G3" s="33"/>
      <c r="H3" s="33"/>
    </row>
    <row r="5" spans="1:8">
      <c r="A5" s="32" t="s">
        <v>81</v>
      </c>
    </row>
    <row r="6" spans="1:8">
      <c r="A6" s="32"/>
    </row>
    <row r="7" spans="1:8">
      <c r="B7" s="6" t="s">
        <v>82</v>
      </c>
      <c r="F7" s="113">
        <v>0</v>
      </c>
    </row>
    <row r="8" spans="1:8">
      <c r="B8" s="1" t="s">
        <v>199</v>
      </c>
      <c r="C8" s="1"/>
      <c r="D8" s="1"/>
      <c r="E8" s="1"/>
      <c r="F8" s="30">
        <v>7098864.9900000002</v>
      </c>
    </row>
    <row r="9" spans="1:8">
      <c r="B9" s="1" t="s">
        <v>200</v>
      </c>
      <c r="C9" s="1"/>
      <c r="D9" s="1"/>
      <c r="E9" s="1"/>
      <c r="F9" s="30">
        <v>481789.62</v>
      </c>
    </row>
    <row r="10" spans="1:8">
      <c r="B10" s="1" t="s">
        <v>201</v>
      </c>
      <c r="C10" s="1"/>
      <c r="D10" s="1"/>
      <c r="E10" s="1"/>
      <c r="F10" s="30">
        <v>3768244.97</v>
      </c>
    </row>
    <row r="11" spans="1:8">
      <c r="B11" s="1" t="s">
        <v>260</v>
      </c>
      <c r="C11" s="1"/>
      <c r="D11" s="1"/>
      <c r="E11" s="1"/>
      <c r="F11" s="30">
        <v>8166193.8700000001</v>
      </c>
    </row>
    <row r="12" spans="1:8">
      <c r="B12" s="1" t="s">
        <v>294</v>
      </c>
      <c r="C12" s="1"/>
      <c r="D12" s="1"/>
      <c r="E12" s="1"/>
      <c r="F12" s="30">
        <v>6316</v>
      </c>
    </row>
    <row r="13" spans="1:8" ht="24.75" thickBot="1">
      <c r="D13" s="29" t="s">
        <v>83</v>
      </c>
      <c r="F13" s="31">
        <f>SUM(F7:F12)</f>
        <v>19521409.449999999</v>
      </c>
    </row>
    <row r="14" spans="1:8" ht="24.75" thickTop="1"/>
  </sheetData>
  <mergeCells count="3">
    <mergeCell ref="A1:F1"/>
    <mergeCell ref="A2:F2"/>
    <mergeCell ref="A3:F3"/>
  </mergeCells>
  <pageMargins left="0.73" right="0.18" top="0.75" bottom="0.75" header="0.31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21" sqref="E21"/>
    </sheetView>
  </sheetViews>
  <sheetFormatPr defaultColWidth="9" defaultRowHeight="24"/>
  <cols>
    <col min="1" max="1" width="9" style="6"/>
    <col min="2" max="2" width="11.7109375" style="6" bestFit="1" customWidth="1"/>
    <col min="3" max="4" width="9" style="6"/>
    <col min="5" max="5" width="23.140625" style="6" customWidth="1"/>
    <col min="6" max="6" width="17.7109375" style="6" customWidth="1"/>
    <col min="7" max="16384" width="9" style="6"/>
  </cols>
  <sheetData>
    <row r="1" spans="1:7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33"/>
    </row>
    <row r="2" spans="1:7">
      <c r="A2" s="224" t="s">
        <v>80</v>
      </c>
      <c r="B2" s="224"/>
      <c r="C2" s="224"/>
      <c r="D2" s="224"/>
      <c r="E2" s="224"/>
      <c r="F2" s="224"/>
      <c r="G2" s="33"/>
    </row>
    <row r="3" spans="1:7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224"/>
      <c r="G3" s="33"/>
    </row>
    <row r="5" spans="1:7">
      <c r="A5" s="32" t="s">
        <v>84</v>
      </c>
    </row>
    <row r="6" spans="1:7">
      <c r="A6" s="32"/>
    </row>
    <row r="7" spans="1:7">
      <c r="B7" s="6" t="s">
        <v>261</v>
      </c>
      <c r="F7" s="30"/>
    </row>
    <row r="8" spans="1:7">
      <c r="B8" s="6" t="s">
        <v>262</v>
      </c>
      <c r="F8" s="30">
        <v>13600</v>
      </c>
    </row>
    <row r="9" spans="1:7">
      <c r="B9" s="6" t="s">
        <v>295</v>
      </c>
      <c r="F9" s="30"/>
    </row>
    <row r="10" spans="1:7">
      <c r="B10" s="6" t="s">
        <v>296</v>
      </c>
      <c r="F10" s="30">
        <v>1467060</v>
      </c>
    </row>
    <row r="11" spans="1:7">
      <c r="B11" s="6" t="s">
        <v>297</v>
      </c>
      <c r="F11" s="30"/>
    </row>
    <row r="12" spans="1:7">
      <c r="B12" s="6" t="s">
        <v>298</v>
      </c>
      <c r="F12" s="30">
        <v>779743.77</v>
      </c>
    </row>
    <row r="13" spans="1:7" ht="24.75" thickBot="1">
      <c r="D13" s="29" t="s">
        <v>83</v>
      </c>
      <c r="F13" s="31">
        <f>SUM(F8:F12)</f>
        <v>2260403.77</v>
      </c>
    </row>
    <row r="14" spans="1:7" ht="24.75" thickTop="1"/>
  </sheetData>
  <mergeCells count="3">
    <mergeCell ref="A1:F1"/>
    <mergeCell ref="A2:F2"/>
    <mergeCell ref="A3:F3"/>
  </mergeCells>
  <pageMargins left="0.9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H18" sqref="H18"/>
    </sheetView>
  </sheetViews>
  <sheetFormatPr defaultColWidth="9" defaultRowHeight="24"/>
  <cols>
    <col min="1" max="1" width="30.140625" style="6" bestFit="1" customWidth="1"/>
    <col min="2" max="2" width="13.7109375" style="6" customWidth="1"/>
    <col min="3" max="3" width="13.28515625" style="6" customWidth="1"/>
    <col min="4" max="5" width="16.7109375" style="6" customWidth="1"/>
    <col min="6" max="6" width="9" style="6"/>
    <col min="7" max="7" width="15.42578125" style="205" customWidth="1"/>
    <col min="8" max="8" width="14.5703125" style="116" customWidth="1"/>
    <col min="9" max="9" width="15.42578125" style="117" customWidth="1"/>
    <col min="10" max="10" width="15.140625" style="6" customWidth="1"/>
    <col min="11" max="11" width="14.28515625" style="6" customWidth="1"/>
    <col min="12" max="12" width="16.140625" style="6" customWidth="1"/>
    <col min="13" max="16384" width="9" style="6"/>
  </cols>
  <sheetData>
    <row r="1" spans="1:12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33"/>
      <c r="G1" s="202"/>
      <c r="H1" s="119"/>
    </row>
    <row r="2" spans="1:12">
      <c r="A2" s="224" t="s">
        <v>80</v>
      </c>
      <c r="B2" s="224"/>
      <c r="C2" s="224"/>
      <c r="D2" s="224"/>
      <c r="E2" s="224"/>
      <c r="F2" s="33"/>
      <c r="G2" s="202"/>
      <c r="H2" s="115"/>
    </row>
    <row r="3" spans="1:12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33"/>
      <c r="G3" s="202"/>
      <c r="H3" s="115"/>
    </row>
    <row r="5" spans="1:12">
      <c r="A5" s="32" t="s">
        <v>85</v>
      </c>
    </row>
    <row r="6" spans="1:12">
      <c r="A6" s="32"/>
    </row>
    <row r="7" spans="1:12">
      <c r="A7" s="35" t="s">
        <v>86</v>
      </c>
      <c r="B7" s="35" t="s">
        <v>87</v>
      </c>
      <c r="C7" s="35" t="s">
        <v>88</v>
      </c>
      <c r="D7" s="35" t="s">
        <v>47</v>
      </c>
      <c r="E7" s="114">
        <v>0.89</v>
      </c>
    </row>
    <row r="8" spans="1:12">
      <c r="A8" s="36" t="s">
        <v>90</v>
      </c>
      <c r="B8" s="37">
        <v>2553</v>
      </c>
      <c r="C8" s="36">
        <v>49</v>
      </c>
      <c r="D8" s="39">
        <v>1706.6</v>
      </c>
      <c r="E8" s="40">
        <f>+H8</f>
        <v>1518.87</v>
      </c>
      <c r="G8" s="205">
        <f>+D8*E$7</f>
        <v>1518.874</v>
      </c>
      <c r="H8" s="116">
        <v>1518.87</v>
      </c>
    </row>
    <row r="9" spans="1:12">
      <c r="A9" s="37"/>
      <c r="B9" s="37">
        <v>2554</v>
      </c>
      <c r="C9" s="37">
        <v>67</v>
      </c>
      <c r="D9" s="40">
        <v>2468.1999999999998</v>
      </c>
      <c r="E9" s="40">
        <f>+H9</f>
        <v>2196.6999999999998</v>
      </c>
      <c r="G9" s="205">
        <f>+D9*E$7</f>
        <v>2196.6979999999999</v>
      </c>
      <c r="H9" s="116">
        <v>2196.6999999999998</v>
      </c>
    </row>
    <row r="10" spans="1:12">
      <c r="A10" s="37"/>
      <c r="B10" s="37">
        <v>2555</v>
      </c>
      <c r="C10" s="37">
        <v>91</v>
      </c>
      <c r="D10" s="40">
        <v>3288.1</v>
      </c>
      <c r="E10" s="40">
        <f>+H10</f>
        <v>2926.41</v>
      </c>
      <c r="G10" s="205">
        <f t="shared" ref="G10:G11" si="0">+D10*E$7</f>
        <v>2926.4090000000001</v>
      </c>
      <c r="H10" s="116">
        <v>2926.41</v>
      </c>
      <c r="I10" s="118"/>
    </row>
    <row r="11" spans="1:12" ht="25.5">
      <c r="A11" s="37"/>
      <c r="B11" s="37">
        <v>2556</v>
      </c>
      <c r="C11" s="37">
        <v>145</v>
      </c>
      <c r="D11" s="40">
        <v>4860.6000000000004</v>
      </c>
      <c r="E11" s="40">
        <f>+H11</f>
        <v>4325.9399999999996</v>
      </c>
      <c r="G11" s="205">
        <f t="shared" si="0"/>
        <v>4325.9340000000002</v>
      </c>
      <c r="H11" s="182">
        <v>4325.9399999999996</v>
      </c>
      <c r="I11" s="118"/>
    </row>
    <row r="12" spans="1:12" ht="25.5">
      <c r="A12" s="37"/>
      <c r="B12" s="37">
        <v>2557</v>
      </c>
      <c r="C12" s="37">
        <v>181</v>
      </c>
      <c r="D12" s="40">
        <v>4645.5</v>
      </c>
      <c r="E12" s="40">
        <f>+J12</f>
        <v>4134.5</v>
      </c>
      <c r="H12" s="182">
        <f>SUM(H8:H11)</f>
        <v>10967.919999999998</v>
      </c>
      <c r="I12" s="205">
        <f>+D12*E$7</f>
        <v>4134.4949999999999</v>
      </c>
      <c r="J12" s="116">
        <v>4134.5</v>
      </c>
      <c r="K12" s="30"/>
      <c r="L12" s="118"/>
    </row>
    <row r="13" spans="1:12">
      <c r="A13" s="37"/>
      <c r="B13" s="37">
        <v>2558</v>
      </c>
      <c r="C13" s="37">
        <v>228</v>
      </c>
      <c r="D13" s="40">
        <v>6548.1</v>
      </c>
      <c r="E13" s="40">
        <f>+J13</f>
        <v>5827.81</v>
      </c>
      <c r="I13" s="205">
        <f>+D13*E$7</f>
        <v>5827.8090000000002</v>
      </c>
      <c r="J13" s="116">
        <v>5827.81</v>
      </c>
      <c r="K13" s="30"/>
      <c r="L13" s="118"/>
    </row>
    <row r="14" spans="1:12">
      <c r="A14" s="37"/>
      <c r="B14" s="37">
        <v>2559</v>
      </c>
      <c r="C14" s="37">
        <v>310</v>
      </c>
      <c r="D14" s="40">
        <v>9321.15</v>
      </c>
      <c r="E14" s="40">
        <f>+J14</f>
        <v>8295.82</v>
      </c>
      <c r="I14" s="205">
        <f>+D14*E$7</f>
        <v>8295.8235000000004</v>
      </c>
      <c r="J14" s="116">
        <v>8295.82</v>
      </c>
      <c r="K14" s="30"/>
      <c r="L14" s="118"/>
    </row>
    <row r="15" spans="1:12" ht="25.5">
      <c r="A15" s="37"/>
      <c r="B15" s="37">
        <v>2560</v>
      </c>
      <c r="C15" s="37">
        <v>517</v>
      </c>
      <c r="D15" s="40">
        <v>17508.900000000001</v>
      </c>
      <c r="E15" s="40">
        <f>+J15</f>
        <v>15582.92</v>
      </c>
      <c r="I15" s="205">
        <f>+D15*E$7</f>
        <v>15582.921000000002</v>
      </c>
      <c r="J15" s="182">
        <v>15582.92</v>
      </c>
      <c r="K15" s="203"/>
      <c r="L15" s="118"/>
    </row>
    <row r="16" spans="1:12" ht="25.5">
      <c r="A16" s="37"/>
      <c r="B16" s="37"/>
      <c r="C16" s="37"/>
      <c r="D16" s="40"/>
      <c r="E16" s="40"/>
      <c r="I16" s="205"/>
      <c r="J16" s="182">
        <f>SUM(J12:J15)</f>
        <v>33841.050000000003</v>
      </c>
      <c r="K16" s="30"/>
      <c r="L16" s="117"/>
    </row>
    <row r="17" spans="1:12">
      <c r="A17" s="37"/>
      <c r="B17" s="37"/>
      <c r="C17" s="37"/>
      <c r="D17" s="40"/>
      <c r="E17" s="40"/>
      <c r="G17" s="206" t="s">
        <v>285</v>
      </c>
      <c r="H17" s="116" t="s">
        <v>300</v>
      </c>
      <c r="I17" s="207" t="s">
        <v>299</v>
      </c>
      <c r="J17" s="116"/>
      <c r="K17" s="30"/>
      <c r="L17" s="117"/>
    </row>
    <row r="18" spans="1:12">
      <c r="A18" s="37"/>
      <c r="B18" s="37"/>
      <c r="C18" s="37"/>
      <c r="D18" s="40"/>
      <c r="E18" s="40"/>
      <c r="G18" s="204">
        <v>44808.97</v>
      </c>
      <c r="H18" s="116">
        <f>+H12+J16</f>
        <v>44808.97</v>
      </c>
      <c r="I18" s="118">
        <f>+G18-H18</f>
        <v>0</v>
      </c>
    </row>
    <row r="19" spans="1:12">
      <c r="A19" s="38"/>
      <c r="B19" s="38"/>
      <c r="C19" s="38"/>
      <c r="D19" s="41"/>
      <c r="E19" s="40"/>
    </row>
    <row r="20" spans="1:12">
      <c r="A20" s="225" t="s">
        <v>83</v>
      </c>
      <c r="B20" s="226"/>
      <c r="C20" s="44">
        <f>SUM(C8:C19)</f>
        <v>1588</v>
      </c>
      <c r="D20" s="42">
        <f>SUM(D8:D19)</f>
        <v>50347.15</v>
      </c>
      <c r="E20" s="42">
        <f>SUM(E8:E19)</f>
        <v>44808.97</v>
      </c>
    </row>
    <row r="21" spans="1:12" ht="24.75" thickBot="1">
      <c r="A21" s="225" t="s">
        <v>89</v>
      </c>
      <c r="B21" s="226"/>
      <c r="C21" s="45">
        <f>SUM(+C20)</f>
        <v>1588</v>
      </c>
      <c r="D21" s="43">
        <f>SUM(+D20)</f>
        <v>50347.15</v>
      </c>
      <c r="E21" s="43">
        <f>SUM(+E20)</f>
        <v>44808.97</v>
      </c>
    </row>
    <row r="22" spans="1:12" ht="24.75" thickTop="1"/>
  </sheetData>
  <mergeCells count="5">
    <mergeCell ref="A21:B21"/>
    <mergeCell ref="A20:B20"/>
    <mergeCell ref="A1:E1"/>
    <mergeCell ref="A2:E2"/>
    <mergeCell ref="A3:E3"/>
  </mergeCells>
  <pageMargins left="0.65" right="0.48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G14"/>
  <sheetViews>
    <sheetView workbookViewId="0">
      <selection activeCell="J12" sqref="J12"/>
    </sheetView>
  </sheetViews>
  <sheetFormatPr defaultColWidth="9" defaultRowHeight="24"/>
  <cols>
    <col min="1" max="1" width="5.5703125" style="6" customWidth="1"/>
    <col min="2" max="2" width="11.7109375" style="6" bestFit="1" customWidth="1"/>
    <col min="3" max="3" width="9" style="6"/>
    <col min="4" max="4" width="8.140625" style="6" customWidth="1"/>
    <col min="5" max="5" width="36.7109375" style="6" customWidth="1"/>
    <col min="6" max="6" width="16.7109375" style="30" customWidth="1"/>
    <col min="7" max="16384" width="9" style="6"/>
  </cols>
  <sheetData>
    <row r="1" spans="1:7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</row>
    <row r="2" spans="1:7">
      <c r="A2" s="224" t="s">
        <v>80</v>
      </c>
      <c r="B2" s="224"/>
      <c r="C2" s="224"/>
      <c r="D2" s="224"/>
      <c r="E2" s="224"/>
      <c r="F2" s="224"/>
      <c r="G2" s="224"/>
    </row>
    <row r="3" spans="1:7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224"/>
      <c r="G3" s="224"/>
    </row>
    <row r="5" spans="1:7">
      <c r="A5" s="32" t="s">
        <v>307</v>
      </c>
    </row>
    <row r="7" spans="1:7">
      <c r="B7" s="6" t="s">
        <v>308</v>
      </c>
      <c r="F7" s="30">
        <v>80000</v>
      </c>
    </row>
    <row r="8" spans="1:7">
      <c r="B8" s="1" t="s">
        <v>309</v>
      </c>
      <c r="C8" s="1"/>
      <c r="D8" s="1"/>
      <c r="E8" s="1"/>
      <c r="F8" s="30">
        <v>100000</v>
      </c>
    </row>
    <row r="9" spans="1:7">
      <c r="B9" s="1" t="s">
        <v>310</v>
      </c>
      <c r="C9" s="1"/>
      <c r="D9" s="1"/>
      <c r="E9" s="1"/>
      <c r="F9" s="30">
        <v>40000</v>
      </c>
    </row>
    <row r="10" spans="1:7">
      <c r="B10" s="1" t="s">
        <v>311</v>
      </c>
      <c r="C10" s="1"/>
      <c r="D10" s="1"/>
      <c r="E10" s="1"/>
      <c r="F10" s="30">
        <v>100000</v>
      </c>
    </row>
    <row r="11" spans="1:7">
      <c r="B11" s="1" t="s">
        <v>312</v>
      </c>
      <c r="C11" s="1"/>
      <c r="D11" s="1"/>
      <c r="E11" s="1"/>
      <c r="F11" s="30">
        <v>100000</v>
      </c>
    </row>
    <row r="12" spans="1:7">
      <c r="B12" s="1" t="s">
        <v>313</v>
      </c>
      <c r="C12" s="1"/>
      <c r="D12" s="1"/>
      <c r="E12" s="1"/>
      <c r="F12" s="30">
        <v>100000</v>
      </c>
    </row>
    <row r="13" spans="1:7" ht="24.75" thickBot="1">
      <c r="D13" s="29" t="s">
        <v>83</v>
      </c>
      <c r="F13" s="31">
        <f>SUM(F7:F12)</f>
        <v>520000</v>
      </c>
    </row>
    <row r="14" spans="1:7" ht="24.75" thickTop="1"/>
  </sheetData>
  <mergeCells count="3">
    <mergeCell ref="A1:G1"/>
    <mergeCell ref="A2:G2"/>
    <mergeCell ref="A3:G3"/>
  </mergeCells>
  <pageMargins left="0.7" right="0.62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2"/>
  <sheetViews>
    <sheetView view="pageBreakPreview" topLeftCell="A16" zoomScaleSheetLayoutView="100" workbookViewId="0">
      <selection activeCell="F29" sqref="F29"/>
    </sheetView>
  </sheetViews>
  <sheetFormatPr defaultColWidth="9" defaultRowHeight="24"/>
  <cols>
    <col min="1" max="1" width="23.42578125" style="6" customWidth="1"/>
    <col min="2" max="2" width="16" style="6" customWidth="1"/>
    <col min="3" max="3" width="16.140625" style="6" customWidth="1"/>
    <col min="4" max="4" width="12.140625" style="6" customWidth="1"/>
    <col min="5" max="5" width="22.140625" style="6" customWidth="1"/>
    <col min="6" max="6" width="36.85546875" style="6" customWidth="1"/>
    <col min="7" max="7" width="15" style="30" customWidth="1"/>
    <col min="8" max="8" width="9" style="6"/>
    <col min="9" max="9" width="14.140625" style="6" bestFit="1" customWidth="1"/>
    <col min="10" max="16384" width="9" style="6"/>
  </cols>
  <sheetData>
    <row r="1" spans="1:9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</row>
    <row r="2" spans="1:9">
      <c r="A2" s="224" t="s">
        <v>80</v>
      </c>
      <c r="B2" s="224"/>
      <c r="C2" s="224"/>
      <c r="D2" s="224"/>
      <c r="E2" s="224"/>
      <c r="F2" s="224"/>
      <c r="G2" s="224"/>
    </row>
    <row r="3" spans="1:9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224"/>
      <c r="G3" s="224"/>
    </row>
    <row r="5" spans="1:9">
      <c r="A5" s="32" t="s">
        <v>263</v>
      </c>
    </row>
    <row r="6" spans="1:9" ht="9" customHeight="1">
      <c r="A6" s="32"/>
    </row>
    <row r="7" spans="1:9">
      <c r="A7" s="35" t="s">
        <v>91</v>
      </c>
      <c r="B7" s="35" t="s">
        <v>92</v>
      </c>
      <c r="C7" s="35" t="s">
        <v>93</v>
      </c>
      <c r="D7" s="35" t="s">
        <v>94</v>
      </c>
      <c r="E7" s="35" t="s">
        <v>95</v>
      </c>
      <c r="F7" s="35" t="s">
        <v>96</v>
      </c>
      <c r="G7" s="120" t="s">
        <v>47</v>
      </c>
    </row>
    <row r="8" spans="1:9">
      <c r="A8" s="77" t="s">
        <v>202</v>
      </c>
      <c r="B8" s="77" t="s">
        <v>203</v>
      </c>
      <c r="C8" s="77" t="s">
        <v>204</v>
      </c>
      <c r="D8" s="77" t="s">
        <v>60</v>
      </c>
      <c r="E8" s="77" t="s">
        <v>205</v>
      </c>
      <c r="F8" s="77" t="s">
        <v>206</v>
      </c>
      <c r="G8" s="127">
        <v>6000</v>
      </c>
    </row>
    <row r="9" spans="1:9">
      <c r="A9" s="77" t="s">
        <v>202</v>
      </c>
      <c r="B9" s="77" t="s">
        <v>203</v>
      </c>
      <c r="C9" s="77" t="s">
        <v>204</v>
      </c>
      <c r="D9" s="77" t="s">
        <v>60</v>
      </c>
      <c r="E9" s="77" t="s">
        <v>205</v>
      </c>
      <c r="F9" s="77" t="s">
        <v>207</v>
      </c>
      <c r="G9" s="127">
        <v>6000</v>
      </c>
    </row>
    <row r="10" spans="1:9">
      <c r="A10" s="77" t="s">
        <v>202</v>
      </c>
      <c r="B10" s="77" t="s">
        <v>203</v>
      </c>
      <c r="C10" s="77" t="s">
        <v>204</v>
      </c>
      <c r="D10" s="77" t="s">
        <v>60</v>
      </c>
      <c r="E10" s="77" t="s">
        <v>205</v>
      </c>
      <c r="F10" s="77" t="s">
        <v>208</v>
      </c>
      <c r="G10" s="127">
        <v>6000</v>
      </c>
    </row>
    <row r="11" spans="1:9">
      <c r="A11" s="77" t="s">
        <v>202</v>
      </c>
      <c r="B11" s="77" t="s">
        <v>203</v>
      </c>
      <c r="C11" s="77" t="s">
        <v>204</v>
      </c>
      <c r="D11" s="77" t="s">
        <v>60</v>
      </c>
      <c r="E11" s="77" t="s">
        <v>205</v>
      </c>
      <c r="F11" s="77" t="s">
        <v>208</v>
      </c>
      <c r="G11" s="127">
        <v>6000</v>
      </c>
    </row>
    <row r="12" spans="1:9">
      <c r="A12" s="77" t="s">
        <v>202</v>
      </c>
      <c r="B12" s="77" t="s">
        <v>209</v>
      </c>
      <c r="C12" s="77" t="s">
        <v>210</v>
      </c>
      <c r="D12" s="77" t="s">
        <v>60</v>
      </c>
      <c r="E12" s="77" t="s">
        <v>205</v>
      </c>
      <c r="F12" s="77" t="s">
        <v>211</v>
      </c>
      <c r="G12" s="127">
        <v>6000</v>
      </c>
    </row>
    <row r="13" spans="1:9">
      <c r="A13" s="77" t="s">
        <v>202</v>
      </c>
      <c r="B13" s="77" t="s">
        <v>209</v>
      </c>
      <c r="C13" s="77" t="s">
        <v>210</v>
      </c>
      <c r="D13" s="77" t="s">
        <v>60</v>
      </c>
      <c r="E13" s="77" t="s">
        <v>205</v>
      </c>
      <c r="F13" s="77" t="s">
        <v>212</v>
      </c>
      <c r="G13" s="127">
        <v>6000</v>
      </c>
    </row>
    <row r="14" spans="1:9">
      <c r="A14" s="77" t="s">
        <v>202</v>
      </c>
      <c r="B14" s="77" t="s">
        <v>213</v>
      </c>
      <c r="C14" s="77" t="s">
        <v>214</v>
      </c>
      <c r="D14" s="77" t="s">
        <v>60</v>
      </c>
      <c r="E14" s="77" t="s">
        <v>216</v>
      </c>
      <c r="F14" s="77" t="s">
        <v>218</v>
      </c>
      <c r="G14" s="127">
        <v>12600</v>
      </c>
      <c r="I14" s="183">
        <f>SUM(G8:G14)</f>
        <v>48600</v>
      </c>
    </row>
    <row r="15" spans="1:9">
      <c r="A15" s="77"/>
      <c r="B15" s="77"/>
      <c r="C15" s="77" t="s">
        <v>215</v>
      </c>
      <c r="D15" s="77"/>
      <c r="E15" s="77" t="s">
        <v>217</v>
      </c>
      <c r="F15" s="77"/>
      <c r="G15" s="127"/>
    </row>
    <row r="16" spans="1:9">
      <c r="A16" s="77" t="s">
        <v>202</v>
      </c>
      <c r="B16" s="77" t="s">
        <v>209</v>
      </c>
      <c r="C16" s="77" t="s">
        <v>210</v>
      </c>
      <c r="D16" s="77" t="s">
        <v>61</v>
      </c>
      <c r="E16" s="77" t="s">
        <v>301</v>
      </c>
      <c r="F16" s="77" t="s">
        <v>302</v>
      </c>
      <c r="G16" s="127">
        <v>1200</v>
      </c>
      <c r="I16" s="183">
        <f>SUM(G16)</f>
        <v>1200</v>
      </c>
    </row>
    <row r="17" spans="1:9">
      <c r="A17" s="77" t="s">
        <v>202</v>
      </c>
      <c r="B17" s="77" t="s">
        <v>166</v>
      </c>
      <c r="C17" s="77" t="s">
        <v>214</v>
      </c>
      <c r="D17" s="77" t="s">
        <v>61</v>
      </c>
      <c r="E17" s="77" t="s">
        <v>221</v>
      </c>
      <c r="F17" s="77" t="s">
        <v>223</v>
      </c>
      <c r="G17" s="127">
        <v>238324.2</v>
      </c>
    </row>
    <row r="18" spans="1:9">
      <c r="A18" s="77"/>
      <c r="B18" s="77"/>
      <c r="C18" s="77" t="s">
        <v>220</v>
      </c>
      <c r="D18" s="77"/>
      <c r="E18" s="77"/>
      <c r="F18" s="77"/>
      <c r="G18" s="127"/>
    </row>
    <row r="19" spans="1:9">
      <c r="A19" s="77" t="s">
        <v>202</v>
      </c>
      <c r="B19" s="77" t="s">
        <v>166</v>
      </c>
      <c r="C19" s="77" t="s">
        <v>214</v>
      </c>
      <c r="D19" s="77" t="s">
        <v>61</v>
      </c>
      <c r="E19" s="77" t="s">
        <v>221</v>
      </c>
      <c r="F19" s="77" t="s">
        <v>222</v>
      </c>
      <c r="G19" s="127">
        <v>66945</v>
      </c>
      <c r="I19" s="183">
        <f>SUM(G17:G19)</f>
        <v>305269.2</v>
      </c>
    </row>
    <row r="20" spans="1:9">
      <c r="A20" s="77"/>
      <c r="B20" s="77"/>
      <c r="C20" s="77" t="s">
        <v>220</v>
      </c>
      <c r="D20" s="77"/>
      <c r="E20" s="77"/>
      <c r="F20" s="77"/>
      <c r="G20" s="82"/>
    </row>
    <row r="21" spans="1:9">
      <c r="A21" s="77"/>
      <c r="B21" s="77"/>
      <c r="C21" s="77"/>
      <c r="D21" s="77"/>
      <c r="E21" s="77"/>
      <c r="F21" s="155" t="s">
        <v>247</v>
      </c>
      <c r="G21" s="82"/>
    </row>
    <row r="22" spans="1:9">
      <c r="A22" s="225" t="s">
        <v>83</v>
      </c>
      <c r="B22" s="226"/>
      <c r="C22" s="226"/>
      <c r="D22" s="226"/>
      <c r="E22" s="226"/>
      <c r="F22" s="227"/>
      <c r="G22" s="121">
        <f>SUM(G8:G21)</f>
        <v>355069.2</v>
      </c>
    </row>
    <row r="23" spans="1:9">
      <c r="A23" s="36"/>
      <c r="B23" s="36"/>
      <c r="C23" s="36"/>
      <c r="D23" s="36"/>
      <c r="E23" s="36"/>
      <c r="F23" s="156" t="s">
        <v>227</v>
      </c>
      <c r="G23" s="40">
        <f>+G22</f>
        <v>355069.2</v>
      </c>
    </row>
    <row r="24" spans="1:9">
      <c r="A24" s="77" t="s">
        <v>202</v>
      </c>
      <c r="B24" s="77" t="s">
        <v>209</v>
      </c>
      <c r="C24" s="77" t="s">
        <v>210</v>
      </c>
      <c r="D24" s="77" t="s">
        <v>224</v>
      </c>
      <c r="E24" s="77" t="s">
        <v>303</v>
      </c>
      <c r="F24" s="77" t="s">
        <v>304</v>
      </c>
      <c r="G24" s="127">
        <v>673000</v>
      </c>
      <c r="I24" s="183">
        <f>+G24</f>
        <v>673000</v>
      </c>
    </row>
    <row r="25" spans="1:9">
      <c r="A25" s="77"/>
      <c r="B25" s="77"/>
      <c r="C25" s="77"/>
      <c r="D25" s="77" t="s">
        <v>225</v>
      </c>
      <c r="E25" s="77"/>
      <c r="F25" s="77"/>
      <c r="G25" s="82"/>
    </row>
    <row r="26" spans="1:9">
      <c r="A26" s="77" t="s">
        <v>202</v>
      </c>
      <c r="B26" s="77" t="s">
        <v>209</v>
      </c>
      <c r="C26" s="77" t="s">
        <v>210</v>
      </c>
      <c r="D26" s="77" t="s">
        <v>62</v>
      </c>
      <c r="E26" s="77" t="s">
        <v>62</v>
      </c>
      <c r="F26" s="77" t="s">
        <v>228</v>
      </c>
      <c r="G26" s="127">
        <v>25000</v>
      </c>
      <c r="I26" s="183">
        <f>+G26</f>
        <v>25000</v>
      </c>
    </row>
    <row r="27" spans="1:9">
      <c r="A27" s="77" t="s">
        <v>240</v>
      </c>
      <c r="B27" s="77" t="s">
        <v>203</v>
      </c>
      <c r="C27" s="77" t="s">
        <v>204</v>
      </c>
      <c r="D27" s="77" t="s">
        <v>224</v>
      </c>
      <c r="E27" s="77" t="s">
        <v>226</v>
      </c>
      <c r="F27" s="77" t="s">
        <v>305</v>
      </c>
      <c r="G27" s="127">
        <v>1467060</v>
      </c>
      <c r="I27" s="209">
        <f>+G27</f>
        <v>1467060</v>
      </c>
    </row>
    <row r="28" spans="1:9">
      <c r="A28" s="77" t="s">
        <v>239</v>
      </c>
      <c r="B28" s="77"/>
      <c r="C28" s="77"/>
      <c r="D28" s="77" t="s">
        <v>225</v>
      </c>
      <c r="E28" s="77"/>
      <c r="F28" s="77" t="s">
        <v>306</v>
      </c>
      <c r="G28" s="127"/>
      <c r="I28" s="208"/>
    </row>
    <row r="29" spans="1:9">
      <c r="A29" s="77"/>
      <c r="B29" s="77"/>
      <c r="C29" s="77"/>
      <c r="D29" s="77"/>
      <c r="E29" s="77"/>
      <c r="F29" s="77"/>
      <c r="G29" s="82"/>
    </row>
    <row r="30" spans="1:9" ht="26.25">
      <c r="A30" s="77"/>
      <c r="B30" s="77"/>
      <c r="C30" s="77"/>
      <c r="D30" s="77"/>
      <c r="E30" s="77"/>
      <c r="F30" s="77"/>
      <c r="G30" s="82"/>
      <c r="I30" s="184">
        <f>+I26+I16+I24+I19+I14+I27</f>
        <v>2520129.2000000002</v>
      </c>
    </row>
    <row r="31" spans="1:9" ht="24.75" thickBot="1">
      <c r="A31" s="228" t="s">
        <v>248</v>
      </c>
      <c r="B31" s="228"/>
      <c r="C31" s="228"/>
      <c r="D31" s="228"/>
      <c r="E31" s="228"/>
      <c r="F31" s="228"/>
      <c r="G31" s="46">
        <f>SUM(G23:G30)</f>
        <v>2520129.2000000002</v>
      </c>
    </row>
    <row r="32" spans="1:9" ht="24.75" thickTop="1"/>
  </sheetData>
  <mergeCells count="5">
    <mergeCell ref="A1:G1"/>
    <mergeCell ref="A2:G2"/>
    <mergeCell ref="A3:G3"/>
    <mergeCell ref="A22:F22"/>
    <mergeCell ref="A31:F31"/>
  </mergeCells>
  <pageMargins left="0.33" right="0.21" top="0.86" bottom="0.31496062992125984" header="0.2362204724409449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zoomScaleSheetLayoutView="100" workbookViewId="0">
      <selection activeCell="H30" sqref="H30"/>
    </sheetView>
  </sheetViews>
  <sheetFormatPr defaultColWidth="9" defaultRowHeight="24"/>
  <cols>
    <col min="1" max="1" width="23.42578125" style="6" customWidth="1"/>
    <col min="2" max="3" width="16.42578125" style="6" customWidth="1"/>
    <col min="4" max="4" width="12.140625" style="6" customWidth="1"/>
    <col min="5" max="5" width="23.28515625" style="6" customWidth="1"/>
    <col min="6" max="6" width="33.140625" style="6" customWidth="1"/>
    <col min="7" max="7" width="15" style="30" customWidth="1"/>
    <col min="8" max="8" width="9" style="6"/>
    <col min="9" max="9" width="18.42578125" style="6" customWidth="1"/>
    <col min="10" max="16384" width="9" style="6"/>
  </cols>
  <sheetData>
    <row r="1" spans="1:7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</row>
    <row r="2" spans="1:7">
      <c r="A2" s="224" t="s">
        <v>80</v>
      </c>
      <c r="B2" s="224"/>
      <c r="C2" s="224"/>
      <c r="D2" s="224"/>
      <c r="E2" s="224"/>
      <c r="F2" s="224"/>
      <c r="G2" s="224"/>
    </row>
    <row r="3" spans="1:7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224"/>
      <c r="G3" s="224"/>
    </row>
    <row r="5" spans="1:7">
      <c r="A5" s="32" t="s">
        <v>264</v>
      </c>
    </row>
    <row r="6" spans="1:7" ht="9" customHeight="1">
      <c r="A6" s="32"/>
    </row>
    <row r="7" spans="1:7">
      <c r="A7" s="112" t="s">
        <v>91</v>
      </c>
      <c r="B7" s="112" t="s">
        <v>92</v>
      </c>
      <c r="C7" s="112" t="s">
        <v>93</v>
      </c>
      <c r="D7" s="112" t="s">
        <v>94</v>
      </c>
      <c r="E7" s="112" t="s">
        <v>95</v>
      </c>
      <c r="F7" s="112" t="s">
        <v>96</v>
      </c>
      <c r="G7" s="120" t="s">
        <v>47</v>
      </c>
    </row>
    <row r="8" spans="1:7">
      <c r="A8" s="77" t="s">
        <v>240</v>
      </c>
      <c r="B8" s="77" t="s">
        <v>166</v>
      </c>
      <c r="C8" s="77" t="s">
        <v>268</v>
      </c>
      <c r="D8" s="77" t="s">
        <v>58</v>
      </c>
      <c r="E8" s="77" t="s">
        <v>269</v>
      </c>
      <c r="F8" s="185" t="s">
        <v>278</v>
      </c>
      <c r="G8" s="82">
        <v>100440</v>
      </c>
    </row>
    <row r="9" spans="1:7">
      <c r="A9" s="77" t="s">
        <v>239</v>
      </c>
      <c r="B9" s="77"/>
      <c r="C9" s="77" t="s">
        <v>270</v>
      </c>
      <c r="D9" s="77" t="s">
        <v>271</v>
      </c>
      <c r="E9" s="77"/>
      <c r="F9" s="185"/>
      <c r="G9" s="82"/>
    </row>
    <row r="10" spans="1:7">
      <c r="A10" s="77" t="s">
        <v>240</v>
      </c>
      <c r="B10" s="77"/>
      <c r="C10" s="77" t="s">
        <v>268</v>
      </c>
      <c r="D10" s="77" t="s">
        <v>58</v>
      </c>
      <c r="E10" s="77" t="s">
        <v>272</v>
      </c>
      <c r="F10" s="185" t="s">
        <v>278</v>
      </c>
      <c r="G10" s="82">
        <v>28260</v>
      </c>
    </row>
    <row r="11" spans="1:7">
      <c r="A11" s="77" t="s">
        <v>239</v>
      </c>
      <c r="B11" s="77"/>
      <c r="C11" s="77" t="s">
        <v>270</v>
      </c>
      <c r="D11" s="77" t="s">
        <v>271</v>
      </c>
      <c r="E11" s="77" t="s">
        <v>273</v>
      </c>
      <c r="F11" s="185"/>
      <c r="G11" s="82"/>
    </row>
    <row r="12" spans="1:7">
      <c r="A12" s="77" t="s">
        <v>240</v>
      </c>
      <c r="B12" s="77" t="s">
        <v>63</v>
      </c>
      <c r="C12" s="77" t="s">
        <v>63</v>
      </c>
      <c r="D12" s="77" t="s">
        <v>63</v>
      </c>
      <c r="E12" s="77" t="s">
        <v>245</v>
      </c>
      <c r="F12" s="185" t="s">
        <v>278</v>
      </c>
      <c r="G12" s="82">
        <v>6540</v>
      </c>
    </row>
    <row r="13" spans="1:7">
      <c r="A13" s="77" t="s">
        <v>239</v>
      </c>
      <c r="B13" s="77"/>
      <c r="C13" s="77"/>
      <c r="D13" s="77"/>
      <c r="E13" s="77"/>
      <c r="F13" s="185"/>
      <c r="G13" s="82"/>
    </row>
    <row r="14" spans="1:7">
      <c r="A14" s="77" t="s">
        <v>240</v>
      </c>
      <c r="B14" s="77" t="s">
        <v>166</v>
      </c>
      <c r="C14" s="77" t="s">
        <v>268</v>
      </c>
      <c r="D14" s="77" t="s">
        <v>59</v>
      </c>
      <c r="E14" s="77" t="s">
        <v>274</v>
      </c>
      <c r="F14" s="77" t="s">
        <v>278</v>
      </c>
      <c r="G14" s="127">
        <v>8580</v>
      </c>
    </row>
    <row r="15" spans="1:7">
      <c r="A15" s="77" t="s">
        <v>239</v>
      </c>
      <c r="B15" s="77"/>
      <c r="C15" s="77" t="s">
        <v>270</v>
      </c>
      <c r="D15" s="77"/>
      <c r="E15" s="77"/>
      <c r="F15" s="77"/>
      <c r="G15" s="82"/>
    </row>
    <row r="16" spans="1:7">
      <c r="A16" s="77" t="s">
        <v>202</v>
      </c>
      <c r="B16" s="77" t="s">
        <v>219</v>
      </c>
      <c r="C16" s="77" t="s">
        <v>275</v>
      </c>
      <c r="D16" s="77" t="s">
        <v>224</v>
      </c>
      <c r="E16" s="77" t="s">
        <v>226</v>
      </c>
      <c r="F16" s="77" t="s">
        <v>276</v>
      </c>
      <c r="G16" s="210">
        <v>2000</v>
      </c>
    </row>
    <row r="17" spans="1:9">
      <c r="A17" s="77"/>
      <c r="B17" s="77"/>
      <c r="C17" s="77"/>
      <c r="D17" s="77" t="s">
        <v>225</v>
      </c>
      <c r="E17" s="77"/>
      <c r="F17" s="77" t="s">
        <v>279</v>
      </c>
      <c r="G17" s="210"/>
    </row>
    <row r="18" spans="1:9">
      <c r="A18" s="77"/>
      <c r="B18" s="77"/>
      <c r="C18" s="77"/>
      <c r="D18" s="77"/>
      <c r="E18" s="77"/>
      <c r="F18" s="77"/>
      <c r="G18" s="82"/>
    </row>
    <row r="19" spans="1:9">
      <c r="A19" s="77"/>
      <c r="B19" s="77"/>
      <c r="C19" s="77"/>
      <c r="D19" s="77"/>
      <c r="E19" s="77"/>
      <c r="F19" s="77"/>
      <c r="G19" s="82"/>
    </row>
    <row r="20" spans="1:9">
      <c r="A20" s="77"/>
      <c r="B20" s="77"/>
      <c r="C20" s="77"/>
      <c r="D20" s="77"/>
      <c r="E20" s="77"/>
      <c r="F20" s="155" t="s">
        <v>247</v>
      </c>
      <c r="G20" s="82"/>
    </row>
    <row r="21" spans="1:9">
      <c r="A21" s="225" t="s">
        <v>83</v>
      </c>
      <c r="B21" s="226"/>
      <c r="C21" s="226"/>
      <c r="D21" s="226"/>
      <c r="E21" s="226"/>
      <c r="F21" s="227"/>
      <c r="G21" s="121">
        <f>SUM(G8:G20)</f>
        <v>145820</v>
      </c>
    </row>
    <row r="23" spans="1:9">
      <c r="A23" s="36"/>
      <c r="B23" s="36"/>
      <c r="C23" s="36"/>
      <c r="D23" s="36"/>
      <c r="E23" s="36"/>
      <c r="F23" s="156" t="s">
        <v>227</v>
      </c>
      <c r="G23" s="39">
        <f>+G21</f>
        <v>145820</v>
      </c>
    </row>
    <row r="24" spans="1:9">
      <c r="A24" s="77" t="s">
        <v>202</v>
      </c>
      <c r="B24" s="77" t="s">
        <v>219</v>
      </c>
      <c r="C24" s="77" t="s">
        <v>275</v>
      </c>
      <c r="D24" s="77" t="s">
        <v>224</v>
      </c>
      <c r="E24" s="77" t="s">
        <v>226</v>
      </c>
      <c r="F24" s="77" t="s">
        <v>277</v>
      </c>
      <c r="G24" s="210">
        <v>900</v>
      </c>
    </row>
    <row r="25" spans="1:9">
      <c r="A25" s="77"/>
      <c r="B25" s="77"/>
      <c r="C25" s="77"/>
      <c r="D25" s="77" t="s">
        <v>225</v>
      </c>
      <c r="E25" s="77"/>
      <c r="F25" s="77" t="s">
        <v>280</v>
      </c>
      <c r="G25" s="40"/>
    </row>
    <row r="26" spans="1:9">
      <c r="A26" s="77"/>
      <c r="B26" s="77"/>
      <c r="C26" s="77"/>
      <c r="D26" s="77"/>
      <c r="E26" s="77"/>
      <c r="F26" s="185"/>
      <c r="G26" s="82"/>
    </row>
    <row r="27" spans="1:9">
      <c r="A27" s="77"/>
      <c r="B27" s="77"/>
      <c r="C27" s="77"/>
      <c r="D27" s="77"/>
      <c r="E27" s="77"/>
      <c r="F27" s="185"/>
      <c r="G27" s="82"/>
    </row>
    <row r="28" spans="1:9">
      <c r="A28" s="77"/>
      <c r="B28" s="77"/>
      <c r="C28" s="77"/>
      <c r="D28" s="77"/>
      <c r="E28" s="77"/>
      <c r="F28" s="185"/>
      <c r="G28" s="82"/>
    </row>
    <row r="29" spans="1:9">
      <c r="A29" s="77"/>
      <c r="B29" s="77"/>
      <c r="C29" s="77"/>
      <c r="D29" s="77"/>
      <c r="E29" s="77"/>
      <c r="F29" s="185"/>
      <c r="G29" s="82"/>
    </row>
    <row r="30" spans="1:9">
      <c r="A30" s="77"/>
      <c r="B30" s="77"/>
      <c r="C30" s="77"/>
      <c r="D30" s="77"/>
      <c r="E30" s="77"/>
      <c r="F30" s="185"/>
      <c r="G30" s="82"/>
    </row>
    <row r="31" spans="1:9">
      <c r="A31" s="77"/>
      <c r="B31" s="77"/>
      <c r="C31" s="77"/>
      <c r="D31" s="77"/>
      <c r="E31" s="77"/>
      <c r="F31" s="77"/>
      <c r="G31" s="127"/>
      <c r="I31" s="151">
        <f>SUM(G25:G31)</f>
        <v>0</v>
      </c>
    </row>
    <row r="32" spans="1:9">
      <c r="A32" s="77"/>
      <c r="B32" s="77"/>
      <c r="C32" s="77"/>
      <c r="D32" s="77"/>
      <c r="E32" s="77"/>
      <c r="F32" s="77"/>
      <c r="G32" s="40"/>
    </row>
    <row r="33" spans="1:10" ht="24.75" thickBot="1">
      <c r="A33" s="225" t="s">
        <v>249</v>
      </c>
      <c r="B33" s="226"/>
      <c r="C33" s="226"/>
      <c r="D33" s="226"/>
      <c r="E33" s="226"/>
      <c r="F33" s="227"/>
      <c r="G33" s="46">
        <f>SUM(G23:G32)</f>
        <v>146720</v>
      </c>
      <c r="I33" s="154">
        <f>+G33+'หมายเหตุ 7.1ท่า'!G31</f>
        <v>2666849.2000000002</v>
      </c>
      <c r="J33" s="6" t="s">
        <v>246</v>
      </c>
    </row>
    <row r="34" spans="1:10" ht="26.25" customHeight="1" thickTop="1" thickBot="1">
      <c r="F34" s="32" t="s">
        <v>246</v>
      </c>
      <c r="G34" s="157">
        <f>+G33+'หมายเหตุ 7.1ท่า'!G31</f>
        <v>2666849.2000000002</v>
      </c>
    </row>
    <row r="35" spans="1:10" ht="24.75" thickTop="1"/>
  </sheetData>
  <mergeCells count="5">
    <mergeCell ref="A33:F33"/>
    <mergeCell ref="A1:G1"/>
    <mergeCell ref="A2:G2"/>
    <mergeCell ref="A3:G3"/>
    <mergeCell ref="A21:F21"/>
  </mergeCells>
  <pageMargins left="0.38" right="0.31496062992125984" top="0.92" bottom="0.31496062992125984" header="0.45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C23" sqref="C23"/>
    </sheetView>
  </sheetViews>
  <sheetFormatPr defaultColWidth="9" defaultRowHeight="24"/>
  <cols>
    <col min="1" max="2" width="4.42578125" style="6" customWidth="1"/>
    <col min="3" max="3" width="60.7109375" style="6" customWidth="1"/>
    <col min="4" max="6" width="14.85546875" style="6" customWidth="1"/>
    <col min="7" max="7" width="9" style="6"/>
    <col min="8" max="8" width="18.140625" style="6" customWidth="1"/>
    <col min="9" max="16384" width="9" style="6"/>
  </cols>
  <sheetData>
    <row r="1" spans="1:6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</row>
    <row r="2" spans="1:6">
      <c r="A2" s="224" t="s">
        <v>80</v>
      </c>
      <c r="B2" s="224"/>
      <c r="C2" s="224"/>
      <c r="D2" s="224"/>
      <c r="E2" s="224"/>
      <c r="F2" s="224"/>
    </row>
    <row r="3" spans="1:6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224"/>
    </row>
    <row r="5" spans="1:6">
      <c r="A5" s="32" t="s">
        <v>265</v>
      </c>
    </row>
    <row r="6" spans="1:6">
      <c r="A6" s="48"/>
      <c r="B6" s="49"/>
      <c r="C6" s="49"/>
      <c r="D6" s="49"/>
      <c r="E6" s="49"/>
      <c r="F6" s="49"/>
    </row>
    <row r="7" spans="1:6">
      <c r="A7" s="48"/>
      <c r="B7" s="48"/>
      <c r="C7" s="48"/>
      <c r="D7" s="48"/>
      <c r="E7" s="48"/>
      <c r="F7" s="50"/>
    </row>
    <row r="8" spans="1:6">
      <c r="A8" s="48"/>
      <c r="B8" s="229" t="s">
        <v>314</v>
      </c>
      <c r="C8" s="229"/>
      <c r="D8" s="51"/>
      <c r="E8" s="51"/>
      <c r="F8" s="51">
        <v>9237288.6900000013</v>
      </c>
    </row>
    <row r="9" spans="1:6" ht="12" customHeight="1">
      <c r="A9" s="48"/>
      <c r="B9" s="180"/>
      <c r="C9" s="180"/>
      <c r="D9" s="51"/>
      <c r="E9" s="51"/>
      <c r="F9" s="51"/>
    </row>
    <row r="10" spans="1:6">
      <c r="A10" s="48"/>
      <c r="B10" s="62"/>
      <c r="C10" s="62" t="s">
        <v>97</v>
      </c>
      <c r="D10" s="218">
        <v>4991213.66</v>
      </c>
      <c r="E10" s="51"/>
      <c r="F10" s="51"/>
    </row>
    <row r="11" spans="1:6">
      <c r="A11" s="48"/>
      <c r="B11" s="52"/>
      <c r="C11" s="52" t="s">
        <v>109</v>
      </c>
      <c r="D11" s="216">
        <v>-1247803.42</v>
      </c>
      <c r="E11" s="53"/>
      <c r="F11" s="51"/>
    </row>
    <row r="12" spans="1:6" ht="12" customHeight="1">
      <c r="A12" s="48"/>
      <c r="B12" s="52"/>
      <c r="C12" s="52"/>
      <c r="D12" s="186"/>
      <c r="E12" s="53"/>
      <c r="F12" s="51"/>
    </row>
    <row r="13" spans="1:6">
      <c r="A13" s="48"/>
      <c r="B13" s="52" t="s">
        <v>98</v>
      </c>
      <c r="C13" s="62" t="s">
        <v>99</v>
      </c>
      <c r="D13" s="51"/>
      <c r="E13" s="218">
        <f>+D10+D11</f>
        <v>3743410.24</v>
      </c>
      <c r="F13" s="51"/>
    </row>
    <row r="14" spans="1:6">
      <c r="A14" s="48"/>
      <c r="B14" s="52"/>
      <c r="C14" s="63" t="s">
        <v>10</v>
      </c>
      <c r="D14" s="54"/>
      <c r="E14" s="217">
        <v>254234.28</v>
      </c>
    </row>
    <row r="15" spans="1:6">
      <c r="A15" s="48"/>
      <c r="B15" s="52"/>
      <c r="C15" s="63" t="s">
        <v>267</v>
      </c>
      <c r="D15" s="54"/>
      <c r="E15" s="215">
        <v>0</v>
      </c>
      <c r="F15" s="55"/>
    </row>
    <row r="16" spans="1:6">
      <c r="A16" s="48"/>
      <c r="B16" s="54"/>
      <c r="C16" s="63" t="s">
        <v>100</v>
      </c>
      <c r="D16" s="54"/>
      <c r="E16" s="217">
        <f>4028269.2-3743410.24-254234.28</f>
        <v>30624.679999999964</v>
      </c>
      <c r="F16" s="55"/>
    </row>
    <row r="17" spans="1:8">
      <c r="A17" s="48"/>
      <c r="B17" s="52" t="s">
        <v>101</v>
      </c>
      <c r="C17" s="62" t="s">
        <v>102</v>
      </c>
      <c r="D17" s="56"/>
      <c r="E17" s="215">
        <v>-5542032.5</v>
      </c>
      <c r="F17" s="186"/>
      <c r="H17" s="30"/>
    </row>
    <row r="18" spans="1:8">
      <c r="A18" s="48"/>
      <c r="B18" s="52"/>
      <c r="C18" s="63" t="s">
        <v>267</v>
      </c>
      <c r="D18" s="56"/>
      <c r="E18" s="216">
        <v>-494.03</v>
      </c>
      <c r="F18" s="186"/>
      <c r="H18" s="30"/>
    </row>
    <row r="19" spans="1:8">
      <c r="A19" s="48"/>
      <c r="B19" s="52"/>
      <c r="C19" s="62"/>
      <c r="D19" s="56"/>
      <c r="E19" s="186"/>
      <c r="F19" s="215">
        <f>SUM(E13:E18)</f>
        <v>-1514257.3299999998</v>
      </c>
    </row>
    <row r="20" spans="1:8" ht="24.75" thickBot="1">
      <c r="A20" s="48"/>
      <c r="B20" s="48" t="s">
        <v>315</v>
      </c>
      <c r="C20" s="48"/>
      <c r="D20" s="57"/>
      <c r="E20" s="51"/>
      <c r="F20" s="58">
        <f>+F8+F19</f>
        <v>7723031.3600000013</v>
      </c>
    </row>
    <row r="21" spans="1:8" ht="24.75" thickTop="1">
      <c r="A21" s="48"/>
      <c r="B21" s="48"/>
      <c r="C21" s="48"/>
      <c r="D21" s="57"/>
      <c r="E21" s="51"/>
      <c r="F21" s="55"/>
    </row>
    <row r="22" spans="1:8">
      <c r="A22" s="48"/>
      <c r="B22" s="48"/>
      <c r="C22" s="48"/>
      <c r="D22" s="51"/>
      <c r="E22" s="51"/>
      <c r="F22" s="51"/>
    </row>
    <row r="23" spans="1:8">
      <c r="A23" s="48"/>
      <c r="B23" s="59" t="s">
        <v>316</v>
      </c>
      <c r="C23" s="60"/>
      <c r="D23" s="51"/>
      <c r="E23" s="51"/>
      <c r="F23" s="51"/>
    </row>
    <row r="24" spans="1:8">
      <c r="A24" s="48"/>
      <c r="B24" s="48"/>
      <c r="C24" s="62" t="s">
        <v>104</v>
      </c>
      <c r="D24" s="51"/>
      <c r="E24" s="51"/>
      <c r="F24" s="51">
        <v>0</v>
      </c>
    </row>
    <row r="25" spans="1:8">
      <c r="A25" s="48"/>
      <c r="B25" s="48"/>
      <c r="C25" s="62" t="s">
        <v>103</v>
      </c>
      <c r="D25" s="48"/>
      <c r="E25" s="51"/>
      <c r="F25" s="219">
        <v>44808.97</v>
      </c>
    </row>
    <row r="26" spans="1:8">
      <c r="A26" s="48"/>
      <c r="B26" s="48"/>
      <c r="C26" s="62" t="s">
        <v>105</v>
      </c>
      <c r="D26" s="48"/>
      <c r="E26" s="51"/>
      <c r="F26" s="51">
        <v>0</v>
      </c>
    </row>
    <row r="27" spans="1:8">
      <c r="A27" s="48"/>
      <c r="B27" s="48"/>
      <c r="C27" s="62" t="s">
        <v>106</v>
      </c>
      <c r="D27" s="48"/>
      <c r="E27" s="51"/>
      <c r="F27" s="51">
        <v>0</v>
      </c>
    </row>
    <row r="28" spans="1:8">
      <c r="A28" s="48"/>
      <c r="B28" s="48"/>
      <c r="C28" s="62" t="s">
        <v>107</v>
      </c>
      <c r="D28" s="48"/>
      <c r="E28" s="51"/>
      <c r="F28" s="51">
        <v>0</v>
      </c>
    </row>
    <row r="29" spans="1:8">
      <c r="A29" s="48"/>
      <c r="B29" s="48"/>
      <c r="C29" s="48" t="s">
        <v>108</v>
      </c>
      <c r="D29" s="51"/>
      <c r="E29" s="51"/>
      <c r="F29" s="51">
        <f>+F20-F24-F25-F26-F27-F28</f>
        <v>7678222.3900000015</v>
      </c>
    </row>
    <row r="30" spans="1:8" ht="24.75" thickBot="1">
      <c r="A30" s="48"/>
      <c r="B30" s="48"/>
      <c r="C30" s="48"/>
      <c r="D30" s="51"/>
      <c r="E30" s="61" t="s">
        <v>83</v>
      </c>
      <c r="F30" s="58">
        <f>F20</f>
        <v>7723031.3600000013</v>
      </c>
      <c r="H30" s="135">
        <f>SUM(F24:F29)</f>
        <v>7723031.3600000013</v>
      </c>
    </row>
    <row r="31" spans="1:8" ht="24.75" thickTop="1">
      <c r="A31" s="48"/>
      <c r="B31" s="48"/>
      <c r="C31" s="48"/>
      <c r="D31" s="48"/>
      <c r="E31" s="51"/>
      <c r="F31" s="55"/>
    </row>
    <row r="32" spans="1:8">
      <c r="A32" s="48"/>
      <c r="B32" s="48"/>
      <c r="C32" s="48"/>
      <c r="D32" s="48"/>
      <c r="E32" s="48"/>
      <c r="F32" s="55"/>
    </row>
    <row r="34" spans="1:1">
      <c r="A34" s="32" t="s">
        <v>317</v>
      </c>
    </row>
    <row r="35" spans="1:1">
      <c r="A35" s="64" t="s">
        <v>266</v>
      </c>
    </row>
  </sheetData>
  <mergeCells count="4">
    <mergeCell ref="A1:F1"/>
    <mergeCell ref="A2:F2"/>
    <mergeCell ref="A3:F3"/>
    <mergeCell ref="B8:C8"/>
  </mergeCells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</sheetPr>
  <dimension ref="A1:H19"/>
  <sheetViews>
    <sheetView workbookViewId="0">
      <selection activeCell="E4" sqref="E4"/>
    </sheetView>
  </sheetViews>
  <sheetFormatPr defaultColWidth="9" defaultRowHeight="24"/>
  <cols>
    <col min="1" max="1" width="17.85546875" style="6" customWidth="1"/>
    <col min="2" max="2" width="17" style="6" customWidth="1"/>
    <col min="3" max="3" width="32.42578125" style="6" customWidth="1"/>
    <col min="4" max="8" width="14.42578125" style="6" customWidth="1"/>
    <col min="9" max="16384" width="9" style="6"/>
  </cols>
  <sheetData>
    <row r="1" spans="1:8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</row>
    <row r="2" spans="1:8">
      <c r="A2" s="224" t="s">
        <v>80</v>
      </c>
      <c r="B2" s="224"/>
      <c r="C2" s="224"/>
      <c r="D2" s="224"/>
      <c r="E2" s="224"/>
      <c r="F2" s="224"/>
      <c r="G2" s="224"/>
      <c r="H2" s="224"/>
    </row>
    <row r="3" spans="1:8">
      <c r="A3" s="224" t="str">
        <f>+'หมายเหตุ 3'!A3:G3</f>
        <v>สำหรับปี สิ้นสุดวันที่ 30 กันยายน 2560</v>
      </c>
      <c r="B3" s="224"/>
      <c r="C3" s="224"/>
      <c r="D3" s="224"/>
      <c r="E3" s="224"/>
      <c r="F3" s="224"/>
      <c r="G3" s="224"/>
      <c r="H3" s="224"/>
    </row>
    <row r="5" spans="1:8">
      <c r="A5" s="32" t="s">
        <v>318</v>
      </c>
    </row>
    <row r="7" spans="1:8" s="34" customFormat="1" ht="45" customHeight="1">
      <c r="A7" s="65" t="s">
        <v>94</v>
      </c>
      <c r="B7" s="128" t="s">
        <v>95</v>
      </c>
      <c r="C7" s="128" t="s">
        <v>96</v>
      </c>
      <c r="D7" s="66" t="s">
        <v>110</v>
      </c>
      <c r="E7" s="67" t="s">
        <v>111</v>
      </c>
      <c r="F7" s="65" t="s">
        <v>112</v>
      </c>
      <c r="G7" s="65" t="s">
        <v>113</v>
      </c>
      <c r="H7" s="47" t="s">
        <v>114</v>
      </c>
    </row>
    <row r="8" spans="1:8">
      <c r="A8" s="76" t="s">
        <v>234</v>
      </c>
      <c r="B8" s="137" t="s">
        <v>235</v>
      </c>
      <c r="C8" s="136" t="s">
        <v>319</v>
      </c>
      <c r="D8" s="81">
        <v>1477000</v>
      </c>
      <c r="E8" s="81">
        <v>1472940</v>
      </c>
      <c r="F8" s="81">
        <v>0</v>
      </c>
      <c r="G8" s="81">
        <f>+D8-F8</f>
        <v>1477000</v>
      </c>
      <c r="H8" s="81">
        <f>+D8-E8</f>
        <v>4060</v>
      </c>
    </row>
    <row r="9" spans="1:8">
      <c r="A9" s="77"/>
      <c r="B9" s="77" t="s">
        <v>236</v>
      </c>
      <c r="C9" s="77" t="s">
        <v>320</v>
      </c>
      <c r="D9" s="82"/>
      <c r="E9" s="82"/>
      <c r="F9" s="82"/>
      <c r="G9" s="82"/>
      <c r="H9" s="82"/>
    </row>
    <row r="10" spans="1:8">
      <c r="A10" s="77"/>
      <c r="B10" s="77"/>
      <c r="C10" s="77"/>
      <c r="D10" s="82"/>
      <c r="E10" s="82"/>
      <c r="F10" s="82"/>
      <c r="G10" s="82"/>
      <c r="H10" s="82"/>
    </row>
    <row r="11" spans="1:8">
      <c r="A11" s="77"/>
      <c r="B11" s="181"/>
      <c r="C11" s="77"/>
      <c r="D11" s="82"/>
      <c r="E11" s="82"/>
      <c r="F11" s="82"/>
      <c r="G11" s="82"/>
      <c r="H11" s="82"/>
    </row>
    <row r="12" spans="1:8">
      <c r="A12" s="77"/>
      <c r="B12" s="77"/>
      <c r="C12" s="77"/>
      <c r="D12" s="82"/>
      <c r="E12" s="82"/>
      <c r="F12" s="82"/>
      <c r="G12" s="82"/>
      <c r="H12" s="82"/>
    </row>
    <row r="13" spans="1:8">
      <c r="A13" s="77"/>
      <c r="B13" s="77"/>
      <c r="C13" s="77"/>
      <c r="D13" s="82"/>
      <c r="E13" s="82"/>
      <c r="F13" s="82"/>
      <c r="G13" s="82"/>
      <c r="H13" s="82"/>
    </row>
    <row r="14" spans="1:8">
      <c r="A14" s="77"/>
      <c r="B14" s="77"/>
      <c r="C14" s="77"/>
      <c r="D14" s="82"/>
      <c r="E14" s="82"/>
      <c r="F14" s="82"/>
      <c r="G14" s="82"/>
      <c r="H14" s="82"/>
    </row>
    <row r="15" spans="1:8">
      <c r="A15" s="77"/>
      <c r="B15" s="77"/>
      <c r="C15" s="77"/>
      <c r="D15" s="82"/>
      <c r="E15" s="82"/>
      <c r="F15" s="82"/>
      <c r="G15" s="82"/>
      <c r="H15" s="82"/>
    </row>
    <row r="16" spans="1:8">
      <c r="A16" s="77"/>
      <c r="B16" s="77"/>
      <c r="C16" s="77"/>
      <c r="D16" s="82"/>
      <c r="E16" s="82"/>
      <c r="F16" s="82"/>
      <c r="G16" s="82"/>
      <c r="H16" s="82"/>
    </row>
    <row r="17" spans="1:8">
      <c r="A17" s="77"/>
      <c r="B17" s="77"/>
      <c r="C17" s="77"/>
      <c r="D17" s="82"/>
      <c r="E17" s="82"/>
      <c r="F17" s="82"/>
      <c r="G17" s="82"/>
      <c r="H17" s="82"/>
    </row>
    <row r="18" spans="1:8" ht="24.75" thickBot="1">
      <c r="A18" s="228" t="s">
        <v>83</v>
      </c>
      <c r="B18" s="228"/>
      <c r="C18" s="228"/>
      <c r="D18" s="111">
        <f>SUM(D8:D17)</f>
        <v>1477000</v>
      </c>
      <c r="E18" s="111">
        <f>SUM(E8:E17)</f>
        <v>1472940</v>
      </c>
      <c r="F18" s="111">
        <f>SUM(F8:F17)</f>
        <v>0</v>
      </c>
      <c r="G18" s="111">
        <f>SUM(G8:G17)</f>
        <v>1477000</v>
      </c>
      <c r="H18" s="111">
        <f>SUM(H8:H17)</f>
        <v>4060</v>
      </c>
    </row>
    <row r="19" spans="1:8" ht="24.75" thickTop="1"/>
  </sheetData>
  <mergeCells count="4">
    <mergeCell ref="A2:H2"/>
    <mergeCell ref="A3:H3"/>
    <mergeCell ref="A18:C18"/>
    <mergeCell ref="A1:H1"/>
  </mergeCells>
  <pageMargins left="0.39370078740157483" right="0.31496062992125984" top="0.74803149606299213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9" sqref="D9"/>
    </sheetView>
  </sheetViews>
  <sheetFormatPr defaultColWidth="9" defaultRowHeight="24"/>
  <cols>
    <col min="1" max="1" width="16.7109375" style="6" customWidth="1"/>
    <col min="2" max="2" width="18.85546875" style="6" customWidth="1"/>
    <col min="3" max="3" width="33.7109375" style="6" customWidth="1"/>
    <col min="4" max="4" width="20.140625" style="6" customWidth="1"/>
    <col min="5" max="6" width="18.7109375" style="6" customWidth="1"/>
    <col min="7" max="7" width="9" style="6"/>
    <col min="8" max="8" width="18" style="30" customWidth="1"/>
    <col min="9" max="9" width="9" style="6"/>
    <col min="10" max="10" width="21.28515625" style="6" customWidth="1"/>
    <col min="11" max="16384" width="9" style="6"/>
  </cols>
  <sheetData>
    <row r="1" spans="1:8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</row>
    <row r="2" spans="1:8">
      <c r="A2" s="224" t="s">
        <v>195</v>
      </c>
      <c r="B2" s="224"/>
      <c r="C2" s="224"/>
      <c r="D2" s="224"/>
      <c r="E2" s="224"/>
      <c r="F2" s="224"/>
    </row>
    <row r="3" spans="1:8">
      <c r="A3" s="224" t="s">
        <v>321</v>
      </c>
      <c r="B3" s="224"/>
      <c r="C3" s="224"/>
      <c r="D3" s="224"/>
      <c r="E3" s="224"/>
      <c r="F3" s="224"/>
    </row>
    <row r="6" spans="1:8" s="34" customFormat="1" ht="30.75" customHeight="1">
      <c r="A6" s="65" t="s">
        <v>115</v>
      </c>
      <c r="B6" s="65" t="s">
        <v>94</v>
      </c>
      <c r="C6" s="65" t="s">
        <v>91</v>
      </c>
      <c r="D6" s="66" t="s">
        <v>45</v>
      </c>
      <c r="E6" s="67" t="s">
        <v>63</v>
      </c>
      <c r="F6" s="65" t="s">
        <v>83</v>
      </c>
      <c r="H6" s="190"/>
    </row>
    <row r="7" spans="1:8">
      <c r="A7" s="36" t="s">
        <v>63</v>
      </c>
      <c r="B7" s="36" t="s">
        <v>63</v>
      </c>
      <c r="C7" s="36" t="s">
        <v>202</v>
      </c>
      <c r="D7" s="39">
        <v>6746613</v>
      </c>
      <c r="E7" s="39">
        <f>6252799-1000</f>
        <v>6251799</v>
      </c>
      <c r="F7" s="39">
        <f>+E7</f>
        <v>6251799</v>
      </c>
    </row>
    <row r="8" spans="1:8">
      <c r="A8" s="37"/>
      <c r="B8" s="37"/>
      <c r="C8" s="37" t="s">
        <v>237</v>
      </c>
      <c r="D8" s="40">
        <v>0</v>
      </c>
      <c r="E8" s="40">
        <v>0</v>
      </c>
      <c r="F8" s="40">
        <f>+E8</f>
        <v>0</v>
      </c>
      <c r="H8" s="150"/>
    </row>
    <row r="9" spans="1:8">
      <c r="A9" s="37"/>
      <c r="B9" s="37"/>
      <c r="C9" s="37"/>
      <c r="D9" s="40"/>
      <c r="E9" s="40"/>
      <c r="F9" s="40"/>
    </row>
    <row r="10" spans="1:8">
      <c r="A10" s="37"/>
      <c r="B10" s="37"/>
      <c r="C10" s="37"/>
      <c r="D10" s="40"/>
      <c r="E10" s="40"/>
      <c r="F10" s="40"/>
    </row>
    <row r="11" spans="1:8">
      <c r="A11" s="37"/>
      <c r="B11" s="37"/>
      <c r="C11" s="37"/>
      <c r="D11" s="40"/>
      <c r="E11" s="40"/>
      <c r="F11" s="40"/>
    </row>
    <row r="12" spans="1:8" ht="26.25">
      <c r="A12" s="37"/>
      <c r="B12" s="37"/>
      <c r="C12" s="37"/>
      <c r="D12" s="40"/>
      <c r="E12" s="40"/>
      <c r="F12" s="40"/>
      <c r="H12" s="191"/>
    </row>
    <row r="13" spans="1:8" ht="26.25">
      <c r="A13" s="37"/>
      <c r="B13" s="37"/>
      <c r="C13" s="37"/>
      <c r="D13" s="40"/>
      <c r="E13" s="40"/>
      <c r="F13" s="40"/>
      <c r="H13" s="191"/>
    </row>
    <row r="14" spans="1:8">
      <c r="A14" s="37"/>
      <c r="B14" s="37"/>
      <c r="C14" s="37"/>
      <c r="D14" s="40"/>
      <c r="E14" s="40"/>
      <c r="F14" s="40"/>
    </row>
    <row r="15" spans="1:8">
      <c r="A15" s="37"/>
      <c r="B15" s="37"/>
      <c r="C15" s="37"/>
      <c r="D15" s="40"/>
      <c r="E15" s="40"/>
      <c r="F15" s="40"/>
    </row>
    <row r="16" spans="1:8">
      <c r="A16" s="37"/>
      <c r="B16" s="37"/>
      <c r="C16" s="37"/>
      <c r="D16" s="40"/>
      <c r="E16" s="40"/>
      <c r="F16" s="41"/>
    </row>
    <row r="17" spans="1:6" ht="24.75" thickBot="1">
      <c r="A17" s="228" t="s">
        <v>83</v>
      </c>
      <c r="B17" s="228"/>
      <c r="C17" s="228"/>
      <c r="D17" s="46">
        <f>SUM(D7:D16)</f>
        <v>6746613</v>
      </c>
      <c r="E17" s="46">
        <f>SUM(E7:E16)</f>
        <v>6251799</v>
      </c>
      <c r="F17" s="46">
        <f>SUM(F7:F16)</f>
        <v>6251799</v>
      </c>
    </row>
    <row r="18" spans="1:6" ht="24.75" thickTop="1"/>
    <row r="19" spans="1:6">
      <c r="A19" s="32"/>
    </row>
  </sheetData>
  <mergeCells count="4">
    <mergeCell ref="A1:F1"/>
    <mergeCell ref="A2:F2"/>
    <mergeCell ref="A3:F3"/>
    <mergeCell ref="A17:C17"/>
  </mergeCells>
  <pageMargins left="0.83" right="0.31496062992125984" top="0.96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16" sqref="D16"/>
    </sheetView>
  </sheetViews>
  <sheetFormatPr defaultColWidth="9" defaultRowHeight="24"/>
  <cols>
    <col min="1" max="1" width="13" style="6" customWidth="1"/>
    <col min="2" max="2" width="20.140625" style="6" customWidth="1"/>
    <col min="3" max="3" width="18.42578125" style="6" customWidth="1"/>
    <col min="4" max="4" width="16.7109375" style="6" customWidth="1"/>
    <col min="5" max="5" width="18.140625" style="6" customWidth="1"/>
    <col min="6" max="6" width="25.7109375" style="6" customWidth="1"/>
    <col min="7" max="7" width="17.7109375" style="6" customWidth="1"/>
    <col min="8" max="8" width="18.85546875" style="6" customWidth="1"/>
    <col min="9" max="9" width="9" style="6"/>
    <col min="10" max="10" width="16.7109375" style="6" customWidth="1"/>
    <col min="11" max="16384" width="9" style="6"/>
  </cols>
  <sheetData>
    <row r="1" spans="1:10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</row>
    <row r="2" spans="1:10">
      <c r="A2" s="224" t="s">
        <v>125</v>
      </c>
      <c r="B2" s="224"/>
      <c r="C2" s="224"/>
      <c r="D2" s="224"/>
      <c r="E2" s="224"/>
      <c r="F2" s="224"/>
      <c r="G2" s="224"/>
      <c r="H2" s="224"/>
    </row>
    <row r="3" spans="1:10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</row>
    <row r="5" spans="1:10" s="34" customFormat="1" ht="32.25" customHeight="1">
      <c r="A5" s="65" t="s">
        <v>115</v>
      </c>
      <c r="B5" s="65" t="s">
        <v>94</v>
      </c>
      <c r="C5" s="65" t="s">
        <v>91</v>
      </c>
      <c r="D5" s="66" t="s">
        <v>45</v>
      </c>
      <c r="E5" s="67" t="s">
        <v>238</v>
      </c>
      <c r="F5" s="69" t="s">
        <v>126</v>
      </c>
      <c r="G5" s="69" t="s">
        <v>127</v>
      </c>
      <c r="H5" s="65" t="s">
        <v>83</v>
      </c>
    </row>
    <row r="6" spans="1:10">
      <c r="A6" s="36" t="s">
        <v>116</v>
      </c>
      <c r="B6" s="36" t="s">
        <v>117</v>
      </c>
      <c r="C6" s="36" t="s">
        <v>202</v>
      </c>
      <c r="D6" s="39">
        <v>2398320</v>
      </c>
      <c r="E6" s="39">
        <v>2398320</v>
      </c>
      <c r="F6" s="39">
        <v>0</v>
      </c>
      <c r="G6" s="39">
        <v>0</v>
      </c>
      <c r="H6" s="39">
        <f>SUM(E6:G6)</f>
        <v>2398320</v>
      </c>
    </row>
    <row r="7" spans="1:10">
      <c r="A7" s="37"/>
      <c r="B7" s="37" t="s">
        <v>118</v>
      </c>
      <c r="C7" s="37" t="s">
        <v>202</v>
      </c>
      <c r="D7" s="40">
        <f>1773000+84000+168000+227400+154000+24000+1518000</f>
        <v>3948400</v>
      </c>
      <c r="E7" s="40">
        <v>2350200</v>
      </c>
      <c r="F7" s="40">
        <v>0</v>
      </c>
      <c r="G7" s="40">
        <v>1482420</v>
      </c>
      <c r="H7" s="40">
        <f>SUM(E7:G7)</f>
        <v>3832620</v>
      </c>
      <c r="J7" s="30"/>
    </row>
    <row r="8" spans="1:10">
      <c r="A8" s="37" t="s">
        <v>119</v>
      </c>
      <c r="B8" s="68" t="s">
        <v>59</v>
      </c>
      <c r="C8" s="37" t="s">
        <v>202</v>
      </c>
      <c r="D8" s="40">
        <f>391500+48000+124000+147000+48000+67000+43160+72000+39000</f>
        <v>979660</v>
      </c>
      <c r="E8" s="40">
        <v>272560</v>
      </c>
      <c r="F8" s="40">
        <v>0</v>
      </c>
      <c r="G8" s="40">
        <v>119340</v>
      </c>
      <c r="H8" s="40">
        <f t="shared" ref="H8:H15" si="0">SUM(E8:G8)</f>
        <v>391900</v>
      </c>
    </row>
    <row r="9" spans="1:10">
      <c r="A9" s="37"/>
      <c r="B9" s="68" t="s">
        <v>60</v>
      </c>
      <c r="C9" s="37" t="s">
        <v>202</v>
      </c>
      <c r="D9" s="40">
        <f>20000+338840+40000+262000+44000+478000+168000</f>
        <v>1350840</v>
      </c>
      <c r="E9" s="40">
        <v>575803.4</v>
      </c>
      <c r="F9" s="40">
        <v>0</v>
      </c>
      <c r="G9" s="40">
        <v>97380</v>
      </c>
      <c r="H9" s="40">
        <f t="shared" si="0"/>
        <v>673183.4</v>
      </c>
    </row>
    <row r="10" spans="1:10">
      <c r="A10" s="37"/>
      <c r="B10" s="68" t="s">
        <v>61</v>
      </c>
      <c r="C10" s="37" t="s">
        <v>202</v>
      </c>
      <c r="D10" s="40">
        <f>84800+7000+16000+19000+73000+19000+2000+115000+39000+39000</f>
        <v>413800</v>
      </c>
      <c r="E10" s="40">
        <v>239970.21</v>
      </c>
      <c r="F10" s="40">
        <v>0</v>
      </c>
      <c r="G10" s="40">
        <v>53437.05</v>
      </c>
      <c r="H10" s="40">
        <f t="shared" si="0"/>
        <v>293407.26</v>
      </c>
    </row>
    <row r="11" spans="1:10">
      <c r="A11" s="37"/>
      <c r="B11" s="68" t="s">
        <v>120</v>
      </c>
      <c r="C11" s="37" t="s">
        <v>202</v>
      </c>
      <c r="D11" s="40">
        <f>196000+4500+11800+118000</f>
        <v>330300</v>
      </c>
      <c r="E11" s="40">
        <v>254825.98</v>
      </c>
      <c r="F11" s="40">
        <v>0</v>
      </c>
      <c r="G11" s="40">
        <v>0</v>
      </c>
      <c r="H11" s="40">
        <f t="shared" si="0"/>
        <v>254825.98</v>
      </c>
    </row>
    <row r="12" spans="1:10">
      <c r="A12" s="37" t="s">
        <v>122</v>
      </c>
      <c r="B12" s="68" t="s">
        <v>121</v>
      </c>
      <c r="C12" s="37" t="s">
        <v>202</v>
      </c>
      <c r="D12" s="40">
        <f>74500+66000</f>
        <v>140500</v>
      </c>
      <c r="E12" s="40">
        <v>71900</v>
      </c>
      <c r="F12" s="40">
        <v>0</v>
      </c>
      <c r="G12" s="40">
        <v>41000</v>
      </c>
      <c r="H12" s="40">
        <f t="shared" si="0"/>
        <v>112900</v>
      </c>
    </row>
    <row r="13" spans="1:10">
      <c r="A13" s="37"/>
      <c r="B13" s="68" t="s">
        <v>64</v>
      </c>
      <c r="C13" s="37"/>
      <c r="D13" s="40">
        <f>675000+150000</f>
        <v>825000</v>
      </c>
      <c r="E13" s="40">
        <v>673000</v>
      </c>
      <c r="F13" s="40">
        <v>0</v>
      </c>
      <c r="G13" s="40">
        <v>0</v>
      </c>
      <c r="H13" s="40">
        <f t="shared" si="0"/>
        <v>673000</v>
      </c>
    </row>
    <row r="14" spans="1:10">
      <c r="A14" s="37" t="s">
        <v>123</v>
      </c>
      <c r="B14" s="68" t="s">
        <v>62</v>
      </c>
      <c r="C14" s="37" t="s">
        <v>202</v>
      </c>
      <c r="D14" s="40">
        <v>25000</v>
      </c>
      <c r="E14" s="40">
        <v>25000</v>
      </c>
      <c r="F14" s="40">
        <v>0</v>
      </c>
      <c r="G14" s="40">
        <v>0</v>
      </c>
      <c r="H14" s="40">
        <f t="shared" si="0"/>
        <v>25000</v>
      </c>
    </row>
    <row r="15" spans="1:10">
      <c r="A15" s="37" t="s">
        <v>124</v>
      </c>
      <c r="B15" s="68" t="s">
        <v>44</v>
      </c>
      <c r="C15" s="37" t="s">
        <v>202</v>
      </c>
      <c r="D15" s="40">
        <v>64400</v>
      </c>
      <c r="E15" s="40">
        <v>29325</v>
      </c>
      <c r="F15" s="40">
        <v>0</v>
      </c>
      <c r="G15" s="40">
        <v>0</v>
      </c>
      <c r="H15" s="41">
        <f t="shared" si="0"/>
        <v>29325</v>
      </c>
    </row>
    <row r="16" spans="1:10" ht="24.75" thickBot="1">
      <c r="A16" s="228" t="s">
        <v>83</v>
      </c>
      <c r="B16" s="228"/>
      <c r="C16" s="228"/>
      <c r="D16" s="46">
        <f>SUM(D6:D15)</f>
        <v>10476220</v>
      </c>
      <c r="E16" s="46">
        <f>SUM(E6:E15)</f>
        <v>6890904.5900000008</v>
      </c>
      <c r="F16" s="46">
        <f>SUM(F6:F15)</f>
        <v>0</v>
      </c>
      <c r="G16" s="46">
        <f>SUM(G6:G15)</f>
        <v>1793577.05</v>
      </c>
      <c r="H16" s="46">
        <f>SUM(H6:H15)</f>
        <v>8684481.6400000006</v>
      </c>
    </row>
    <row r="17" spans="1:1" ht="24.75" thickTop="1"/>
    <row r="18" spans="1:1">
      <c r="A18" s="32"/>
    </row>
  </sheetData>
  <mergeCells count="4">
    <mergeCell ref="A1:H1"/>
    <mergeCell ref="A2:H2"/>
    <mergeCell ref="A3:H3"/>
    <mergeCell ref="A16:C16"/>
  </mergeCells>
  <pageMargins left="0.32" right="0.27559055118110237" top="0.99" bottom="0.35433070866141736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G8" sqref="G8"/>
    </sheetView>
  </sheetViews>
  <sheetFormatPr defaultColWidth="9" defaultRowHeight="24"/>
  <cols>
    <col min="1" max="1" width="13" style="6" customWidth="1"/>
    <col min="2" max="2" width="20.140625" style="6" customWidth="1"/>
    <col min="3" max="3" width="18.42578125" style="6" customWidth="1"/>
    <col min="4" max="4" width="16.7109375" style="6" customWidth="1"/>
    <col min="5" max="5" width="19.42578125" style="6" customWidth="1"/>
    <col min="6" max="7" width="16.28515625" style="6" customWidth="1"/>
    <col min="8" max="8" width="18.85546875" style="6" customWidth="1"/>
    <col min="9" max="16384" width="9" style="6"/>
  </cols>
  <sheetData>
    <row r="1" spans="1:8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</row>
    <row r="2" spans="1:8">
      <c r="A2" s="224" t="s">
        <v>128</v>
      </c>
      <c r="B2" s="224"/>
      <c r="C2" s="224"/>
      <c r="D2" s="224"/>
      <c r="E2" s="224"/>
      <c r="F2" s="224"/>
      <c r="G2" s="224"/>
      <c r="H2" s="224"/>
    </row>
    <row r="3" spans="1:8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</row>
    <row r="5" spans="1:8" s="34" customFormat="1" ht="72">
      <c r="A5" s="65" t="s">
        <v>115</v>
      </c>
      <c r="B5" s="138" t="s">
        <v>94</v>
      </c>
      <c r="C5" s="138" t="s">
        <v>91</v>
      </c>
      <c r="D5" s="66" t="s">
        <v>45</v>
      </c>
      <c r="E5" s="70" t="s">
        <v>129</v>
      </c>
      <c r="F5" s="70" t="s">
        <v>130</v>
      </c>
      <c r="G5" s="70" t="s">
        <v>131</v>
      </c>
      <c r="H5" s="138" t="s">
        <v>83</v>
      </c>
    </row>
    <row r="6" spans="1:8">
      <c r="A6" s="36" t="s">
        <v>116</v>
      </c>
      <c r="B6" s="37" t="s">
        <v>118</v>
      </c>
      <c r="C6" s="37"/>
      <c r="D6" s="40">
        <v>0</v>
      </c>
      <c r="E6" s="40">
        <v>0</v>
      </c>
      <c r="F6" s="40">
        <v>0</v>
      </c>
      <c r="G6" s="40">
        <v>0</v>
      </c>
      <c r="H6" s="40">
        <f t="shared" ref="H6:H14" si="0">SUM(E6:G6)</f>
        <v>0</v>
      </c>
    </row>
    <row r="7" spans="1:8">
      <c r="A7" s="37" t="s">
        <v>119</v>
      </c>
      <c r="B7" s="68" t="s">
        <v>59</v>
      </c>
      <c r="C7" s="37" t="s">
        <v>202</v>
      </c>
      <c r="D7" s="40">
        <v>39000</v>
      </c>
      <c r="E7" s="40">
        <v>0</v>
      </c>
      <c r="F7" s="40">
        <v>0</v>
      </c>
      <c r="G7" s="40">
        <v>0</v>
      </c>
      <c r="H7" s="40">
        <f t="shared" si="0"/>
        <v>0</v>
      </c>
    </row>
    <row r="8" spans="1:8">
      <c r="A8" s="37"/>
      <c r="B8" s="68" t="s">
        <v>60</v>
      </c>
      <c r="C8" s="37" t="s">
        <v>202</v>
      </c>
      <c r="D8" s="40">
        <v>79000</v>
      </c>
      <c r="E8" s="40">
        <v>22920</v>
      </c>
      <c r="F8" s="40">
        <v>0</v>
      </c>
      <c r="G8" s="40">
        <v>0</v>
      </c>
      <c r="H8" s="40">
        <f t="shared" si="0"/>
        <v>22920</v>
      </c>
    </row>
    <row r="9" spans="1:8">
      <c r="A9" s="37"/>
      <c r="B9" s="68" t="s">
        <v>61</v>
      </c>
      <c r="C9" s="37" t="s">
        <v>202</v>
      </c>
      <c r="D9" s="40">
        <v>6000</v>
      </c>
      <c r="E9" s="40">
        <v>0</v>
      </c>
      <c r="F9" s="40">
        <v>0</v>
      </c>
      <c r="G9" s="40">
        <v>0</v>
      </c>
      <c r="H9" s="40">
        <f t="shared" si="0"/>
        <v>0</v>
      </c>
    </row>
    <row r="10" spans="1:8">
      <c r="A10" s="37"/>
      <c r="B10" s="68" t="s">
        <v>120</v>
      </c>
      <c r="C10" s="37"/>
      <c r="D10" s="40">
        <v>0</v>
      </c>
      <c r="E10" s="40">
        <v>0</v>
      </c>
      <c r="F10" s="40">
        <v>0</v>
      </c>
      <c r="G10" s="40">
        <v>0</v>
      </c>
      <c r="H10" s="40">
        <f t="shared" si="0"/>
        <v>0</v>
      </c>
    </row>
    <row r="11" spans="1:8">
      <c r="A11" s="37" t="s">
        <v>122</v>
      </c>
      <c r="B11" s="68" t="s">
        <v>121</v>
      </c>
      <c r="C11" s="37"/>
      <c r="D11" s="40">
        <v>0</v>
      </c>
      <c r="E11" s="40">
        <v>0</v>
      </c>
      <c r="F11" s="40">
        <v>0</v>
      </c>
      <c r="G11" s="40">
        <v>0</v>
      </c>
      <c r="H11" s="40">
        <f t="shared" si="0"/>
        <v>0</v>
      </c>
    </row>
    <row r="12" spans="1:8">
      <c r="A12" s="37"/>
      <c r="B12" s="68" t="s">
        <v>64</v>
      </c>
      <c r="C12" s="68"/>
      <c r="D12" s="40">
        <v>0</v>
      </c>
      <c r="E12" s="40">
        <v>0</v>
      </c>
      <c r="F12" s="40">
        <v>0</v>
      </c>
      <c r="G12" s="40">
        <v>0</v>
      </c>
      <c r="H12" s="40">
        <f t="shared" si="0"/>
        <v>0</v>
      </c>
    </row>
    <row r="13" spans="1:8">
      <c r="A13" s="37" t="s">
        <v>123</v>
      </c>
      <c r="B13" s="68" t="s">
        <v>62</v>
      </c>
      <c r="C13" s="68"/>
      <c r="D13" s="40">
        <v>0</v>
      </c>
      <c r="E13" s="40">
        <v>0</v>
      </c>
      <c r="F13" s="40">
        <v>0</v>
      </c>
      <c r="G13" s="40">
        <v>0</v>
      </c>
      <c r="H13" s="40">
        <f t="shared" si="0"/>
        <v>0</v>
      </c>
    </row>
    <row r="14" spans="1:8">
      <c r="A14" s="37" t="s">
        <v>124</v>
      </c>
      <c r="B14" s="68" t="s">
        <v>44</v>
      </c>
      <c r="C14" s="68"/>
      <c r="D14" s="40">
        <v>0</v>
      </c>
      <c r="E14" s="40">
        <v>0</v>
      </c>
      <c r="F14" s="40">
        <v>0</v>
      </c>
      <c r="G14" s="40">
        <v>0</v>
      </c>
      <c r="H14" s="41">
        <f t="shared" si="0"/>
        <v>0</v>
      </c>
    </row>
    <row r="15" spans="1:8" ht="24.75" thickBot="1">
      <c r="A15" s="228" t="s">
        <v>83</v>
      </c>
      <c r="B15" s="228"/>
      <c r="C15" s="228"/>
      <c r="D15" s="46">
        <f>SUM(D6:D14)</f>
        <v>124000</v>
      </c>
      <c r="E15" s="46">
        <f>SUM(E6:E14)</f>
        <v>22920</v>
      </c>
      <c r="F15" s="46">
        <f>SUM(F6:F14)</f>
        <v>0</v>
      </c>
      <c r="G15" s="46">
        <f>SUM(G6:G14)</f>
        <v>0</v>
      </c>
      <c r="H15" s="46">
        <f>SUM(H6:H14)</f>
        <v>22920</v>
      </c>
    </row>
    <row r="16" spans="1:8" ht="24.75" thickTop="1"/>
    <row r="17" spans="1:1">
      <c r="A17" s="32"/>
    </row>
  </sheetData>
  <mergeCells count="4">
    <mergeCell ref="A1:H1"/>
    <mergeCell ref="A2:H2"/>
    <mergeCell ref="A3:H3"/>
    <mergeCell ref="A15:C15"/>
  </mergeCells>
  <pageMargins left="0.44" right="0.31496062992125984" top="0.74803149606299213" bottom="0.35433070866141736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5"/>
  <sheetViews>
    <sheetView zoomScale="130" zoomScaleNormal="130" workbookViewId="0">
      <selection activeCell="F25" sqref="F25"/>
    </sheetView>
  </sheetViews>
  <sheetFormatPr defaultColWidth="9" defaultRowHeight="24"/>
  <cols>
    <col min="1" max="1" width="13" style="6" customWidth="1"/>
    <col min="2" max="2" width="20.140625" style="6" customWidth="1"/>
    <col min="3" max="3" width="25.140625" style="6" customWidth="1"/>
    <col min="4" max="4" width="15.7109375" style="6" customWidth="1"/>
    <col min="5" max="5" width="17.42578125" style="6" customWidth="1"/>
    <col min="6" max="7" width="16.28515625" style="6" customWidth="1"/>
    <col min="8" max="8" width="15.5703125" style="6" customWidth="1"/>
    <col min="9" max="9" width="15.7109375" style="6" customWidth="1"/>
    <col min="10" max="10" width="9" style="6"/>
    <col min="11" max="11" width="17.140625" style="30" customWidth="1"/>
    <col min="12" max="16384" width="9" style="6"/>
  </cols>
  <sheetData>
    <row r="1" spans="1:11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  <c r="I1" s="224"/>
    </row>
    <row r="2" spans="1:11">
      <c r="A2" s="224" t="s">
        <v>132</v>
      </c>
      <c r="B2" s="224"/>
      <c r="C2" s="224"/>
      <c r="D2" s="224"/>
      <c r="E2" s="224"/>
      <c r="F2" s="224"/>
      <c r="G2" s="224"/>
      <c r="H2" s="224"/>
      <c r="I2" s="224"/>
    </row>
    <row r="3" spans="1:11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  <c r="I3" s="224"/>
    </row>
    <row r="5" spans="1:11" s="34" customFormat="1" ht="72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133</v>
      </c>
      <c r="F5" s="70" t="s">
        <v>134</v>
      </c>
      <c r="G5" s="70" t="s">
        <v>135</v>
      </c>
      <c r="H5" s="66" t="s">
        <v>136</v>
      </c>
      <c r="I5" s="138" t="s">
        <v>83</v>
      </c>
      <c r="K5" s="190"/>
    </row>
    <row r="6" spans="1:11">
      <c r="A6" s="37" t="s">
        <v>116</v>
      </c>
      <c r="B6" s="37" t="s">
        <v>118</v>
      </c>
      <c r="C6" s="37" t="s">
        <v>202</v>
      </c>
      <c r="D6" s="40">
        <v>2220800</v>
      </c>
      <c r="E6" s="40">
        <v>2082635.37</v>
      </c>
      <c r="F6" s="40">
        <v>0</v>
      </c>
      <c r="G6" s="40">
        <v>0</v>
      </c>
      <c r="H6" s="40">
        <v>0</v>
      </c>
      <c r="I6" s="40">
        <f t="shared" ref="I6:I22" si="0">SUM(E6:H6)</f>
        <v>2082635.37</v>
      </c>
      <c r="J6" s="6" t="s">
        <v>281</v>
      </c>
      <c r="K6" s="30">
        <v>965760</v>
      </c>
    </row>
    <row r="7" spans="1:11">
      <c r="A7" s="37"/>
      <c r="B7" s="37"/>
      <c r="C7" s="37" t="s">
        <v>240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f t="shared" si="0"/>
        <v>0</v>
      </c>
      <c r="J7" s="6" t="s">
        <v>282</v>
      </c>
      <c r="K7" s="30">
        <v>480480</v>
      </c>
    </row>
    <row r="8" spans="1:11">
      <c r="A8" s="37"/>
      <c r="B8" s="37"/>
      <c r="C8" s="37" t="s">
        <v>239</v>
      </c>
      <c r="D8" s="40"/>
      <c r="E8" s="40">
        <v>0</v>
      </c>
      <c r="F8" s="40">
        <v>0</v>
      </c>
      <c r="G8" s="40">
        <v>0</v>
      </c>
      <c r="H8" s="40">
        <v>0</v>
      </c>
      <c r="I8" s="40"/>
      <c r="J8" s="6" t="s">
        <v>283</v>
      </c>
      <c r="K8" s="30">
        <v>66720</v>
      </c>
    </row>
    <row r="9" spans="1:11" ht="26.25">
      <c r="A9" s="37" t="s">
        <v>119</v>
      </c>
      <c r="B9" s="68" t="s">
        <v>59</v>
      </c>
      <c r="C9" s="37" t="s">
        <v>202</v>
      </c>
      <c r="D9" s="40">
        <f>63000+32000+39000</f>
        <v>134000</v>
      </c>
      <c r="E9" s="40">
        <v>46950</v>
      </c>
      <c r="F9" s="40">
        <v>0</v>
      </c>
      <c r="G9" s="40">
        <v>0</v>
      </c>
      <c r="H9" s="40">
        <v>0</v>
      </c>
      <c r="I9" s="40">
        <f t="shared" si="0"/>
        <v>46950</v>
      </c>
      <c r="J9" s="6" t="s">
        <v>282</v>
      </c>
      <c r="K9" s="191">
        <v>22800</v>
      </c>
    </row>
    <row r="10" spans="1:11" ht="26.25">
      <c r="A10" s="37"/>
      <c r="B10" s="68"/>
      <c r="C10" s="37" t="s">
        <v>240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f t="shared" si="0"/>
        <v>0</v>
      </c>
      <c r="K10" s="192">
        <f>SUM(K6:K9)</f>
        <v>1535760</v>
      </c>
    </row>
    <row r="11" spans="1:11">
      <c r="A11" s="37"/>
      <c r="B11" s="68"/>
      <c r="C11" s="37" t="s">
        <v>239</v>
      </c>
      <c r="D11" s="40"/>
      <c r="E11" s="40">
        <v>0</v>
      </c>
      <c r="F11" s="40">
        <v>0</v>
      </c>
      <c r="G11" s="40">
        <v>0</v>
      </c>
      <c r="H11" s="40">
        <v>0</v>
      </c>
      <c r="I11" s="40">
        <f t="shared" si="0"/>
        <v>0</v>
      </c>
    </row>
    <row r="12" spans="1:11">
      <c r="A12" s="37"/>
      <c r="B12" s="68" t="s">
        <v>60</v>
      </c>
      <c r="C12" s="37" t="s">
        <v>202</v>
      </c>
      <c r="D12" s="40">
        <f>10000+841000+75500</f>
        <v>926500</v>
      </c>
      <c r="E12" s="40">
        <v>771058</v>
      </c>
      <c r="F12" s="40">
        <v>0</v>
      </c>
      <c r="G12" s="40">
        <v>0</v>
      </c>
      <c r="H12" s="40">
        <v>0</v>
      </c>
      <c r="I12" s="40">
        <f t="shared" si="0"/>
        <v>771058</v>
      </c>
    </row>
    <row r="13" spans="1:11">
      <c r="A13" s="37"/>
      <c r="B13" s="68" t="s">
        <v>61</v>
      </c>
      <c r="C13" s="37" t="s">
        <v>202</v>
      </c>
      <c r="D13" s="40">
        <f>12000+682167+10000</f>
        <v>704167</v>
      </c>
      <c r="E13" s="40">
        <v>628454</v>
      </c>
      <c r="F13" s="40">
        <v>0</v>
      </c>
      <c r="G13" s="40">
        <v>0</v>
      </c>
      <c r="H13" s="40"/>
      <c r="I13" s="40">
        <f t="shared" si="0"/>
        <v>628454</v>
      </c>
    </row>
    <row r="14" spans="1:11">
      <c r="A14" s="37"/>
      <c r="B14" s="68"/>
      <c r="C14" s="37" t="s">
        <v>240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f t="shared" si="0"/>
        <v>0</v>
      </c>
    </row>
    <row r="15" spans="1:11">
      <c r="A15" s="37"/>
      <c r="B15" s="68"/>
      <c r="C15" s="37" t="s">
        <v>239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f t="shared" si="0"/>
        <v>0</v>
      </c>
    </row>
    <row r="16" spans="1:11">
      <c r="A16" s="37"/>
      <c r="B16" s="68" t="s">
        <v>120</v>
      </c>
      <c r="C16" s="37"/>
      <c r="D16" s="40">
        <v>18000</v>
      </c>
      <c r="E16" s="40">
        <v>10877.06</v>
      </c>
      <c r="F16" s="40">
        <v>0</v>
      </c>
      <c r="G16" s="40">
        <v>0</v>
      </c>
      <c r="H16" s="40">
        <v>0</v>
      </c>
      <c r="I16" s="40">
        <f t="shared" si="0"/>
        <v>10877.06</v>
      </c>
    </row>
    <row r="17" spans="1:9">
      <c r="A17" s="37" t="s">
        <v>122</v>
      </c>
      <c r="B17" s="68" t="s">
        <v>121</v>
      </c>
      <c r="C17" s="37"/>
      <c r="D17" s="40">
        <v>30000</v>
      </c>
      <c r="E17" s="40">
        <v>24800</v>
      </c>
      <c r="F17" s="40">
        <v>0</v>
      </c>
      <c r="G17" s="40">
        <v>0</v>
      </c>
      <c r="H17" s="40">
        <v>0</v>
      </c>
      <c r="I17" s="40">
        <f t="shared" si="0"/>
        <v>24800</v>
      </c>
    </row>
    <row r="18" spans="1:9">
      <c r="A18" s="37"/>
      <c r="B18" s="68" t="s">
        <v>64</v>
      </c>
      <c r="C18" s="37" t="s">
        <v>202</v>
      </c>
      <c r="D18" s="40">
        <f>124500+150000</f>
        <v>274500</v>
      </c>
      <c r="E18" s="40">
        <v>215000</v>
      </c>
      <c r="F18" s="40">
        <v>0</v>
      </c>
      <c r="G18" s="40">
        <v>0</v>
      </c>
      <c r="H18" s="40">
        <v>0</v>
      </c>
      <c r="I18" s="40">
        <f t="shared" si="0"/>
        <v>215000</v>
      </c>
    </row>
    <row r="19" spans="1:9">
      <c r="A19" s="37"/>
      <c r="B19" s="68"/>
      <c r="C19" s="37" t="s">
        <v>240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f t="shared" si="0"/>
        <v>0</v>
      </c>
    </row>
    <row r="20" spans="1:9">
      <c r="A20" s="37"/>
      <c r="B20" s="68"/>
      <c r="C20" s="37" t="s">
        <v>239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/>
    </row>
    <row r="21" spans="1:9">
      <c r="A21" s="37" t="s">
        <v>123</v>
      </c>
      <c r="B21" s="68" t="s">
        <v>62</v>
      </c>
      <c r="C21" s="68"/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f t="shared" si="0"/>
        <v>0</v>
      </c>
    </row>
    <row r="22" spans="1:9">
      <c r="A22" s="37" t="s">
        <v>124</v>
      </c>
      <c r="B22" s="68" t="s">
        <v>44</v>
      </c>
      <c r="C22" s="37" t="s">
        <v>202</v>
      </c>
      <c r="D22" s="40">
        <f>1029000+58000</f>
        <v>1087000</v>
      </c>
      <c r="E22" s="40">
        <v>1018200</v>
      </c>
      <c r="F22" s="40">
        <v>55000</v>
      </c>
      <c r="G22" s="40">
        <v>0</v>
      </c>
      <c r="H22" s="40">
        <v>0</v>
      </c>
      <c r="I22" s="41">
        <f t="shared" si="0"/>
        <v>1073200</v>
      </c>
    </row>
    <row r="23" spans="1:9" ht="24.75" thickBot="1">
      <c r="A23" s="228" t="s">
        <v>83</v>
      </c>
      <c r="B23" s="228"/>
      <c r="C23" s="228"/>
      <c r="D23" s="46">
        <f t="shared" ref="D23:I23" si="1">SUM(D6:D22)</f>
        <v>5394967</v>
      </c>
      <c r="E23" s="46">
        <f t="shared" si="1"/>
        <v>4797974.43</v>
      </c>
      <c r="F23" s="46">
        <f t="shared" si="1"/>
        <v>55000</v>
      </c>
      <c r="G23" s="46">
        <f t="shared" si="1"/>
        <v>0</v>
      </c>
      <c r="H23" s="46">
        <f t="shared" si="1"/>
        <v>0</v>
      </c>
      <c r="I23" s="46">
        <f t="shared" si="1"/>
        <v>4852974.43</v>
      </c>
    </row>
    <row r="24" spans="1:9" ht="24.75" thickTop="1">
      <c r="D24" s="151"/>
    </row>
    <row r="25" spans="1:9">
      <c r="A25" s="32"/>
    </row>
  </sheetData>
  <mergeCells count="4">
    <mergeCell ref="A23:C23"/>
    <mergeCell ref="A1:I1"/>
    <mergeCell ref="A2:I2"/>
    <mergeCell ref="A3:I3"/>
  </mergeCells>
  <pageMargins left="0.4" right="0.31496062992125984" top="0.57999999999999996" bottom="0.35433070866141736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F9" sqref="F9"/>
    </sheetView>
  </sheetViews>
  <sheetFormatPr defaultColWidth="9" defaultRowHeight="24"/>
  <cols>
    <col min="1" max="1" width="13" style="6" customWidth="1"/>
    <col min="2" max="2" width="19.42578125" style="6" customWidth="1"/>
    <col min="3" max="3" width="24.7109375" style="6" customWidth="1"/>
    <col min="4" max="4" width="14.42578125" style="6" customWidth="1"/>
    <col min="5" max="5" width="16.140625" style="6" customWidth="1"/>
    <col min="6" max="6" width="11.85546875" style="6" customWidth="1"/>
    <col min="7" max="7" width="14" style="6" customWidth="1"/>
    <col min="8" max="8" width="13.42578125" style="6" customWidth="1"/>
    <col min="9" max="9" width="13.28515625" style="6" customWidth="1"/>
    <col min="10" max="16384" width="9" style="6"/>
  </cols>
  <sheetData>
    <row r="1" spans="1:9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  <c r="I1" s="224"/>
    </row>
    <row r="2" spans="1:9">
      <c r="A2" s="224" t="s">
        <v>137</v>
      </c>
      <c r="B2" s="224"/>
      <c r="C2" s="224"/>
      <c r="D2" s="224"/>
      <c r="E2" s="224"/>
      <c r="F2" s="224"/>
      <c r="G2" s="224"/>
      <c r="H2" s="224"/>
      <c r="I2" s="224"/>
    </row>
    <row r="3" spans="1:9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  <c r="I3" s="224"/>
    </row>
    <row r="5" spans="1:9" s="34" customFormat="1" ht="96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138</v>
      </c>
      <c r="F5" s="70" t="s">
        <v>139</v>
      </c>
      <c r="G5" s="70" t="s">
        <v>140</v>
      </c>
      <c r="H5" s="70" t="s">
        <v>141</v>
      </c>
      <c r="I5" s="138" t="s">
        <v>83</v>
      </c>
    </row>
    <row r="6" spans="1:9">
      <c r="A6" s="37" t="s">
        <v>116</v>
      </c>
      <c r="B6" s="37" t="s">
        <v>118</v>
      </c>
      <c r="C6" s="37" t="s">
        <v>202</v>
      </c>
      <c r="D6" s="40">
        <v>120000</v>
      </c>
      <c r="E6" s="40">
        <v>120000</v>
      </c>
      <c r="F6" s="40">
        <v>0</v>
      </c>
      <c r="G6" s="40">
        <v>0</v>
      </c>
      <c r="H6" s="40">
        <v>0</v>
      </c>
      <c r="I6" s="40">
        <f t="shared" ref="I6:I14" si="0">SUM(E6:H6)</f>
        <v>120000</v>
      </c>
    </row>
    <row r="7" spans="1:9">
      <c r="A7" s="37" t="s">
        <v>119</v>
      </c>
      <c r="B7" s="68" t="s">
        <v>59</v>
      </c>
      <c r="C7" s="37"/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f t="shared" si="0"/>
        <v>0</v>
      </c>
    </row>
    <row r="8" spans="1:9">
      <c r="A8" s="37"/>
      <c r="B8" s="68" t="s">
        <v>60</v>
      </c>
      <c r="C8" s="37" t="s">
        <v>202</v>
      </c>
      <c r="D8" s="40">
        <v>275000</v>
      </c>
      <c r="E8" s="40">
        <v>213104.66</v>
      </c>
      <c r="F8" s="40">
        <v>0</v>
      </c>
      <c r="G8" s="40">
        <v>0</v>
      </c>
      <c r="H8" s="40">
        <v>0</v>
      </c>
      <c r="I8" s="40">
        <f t="shared" si="0"/>
        <v>213104.66</v>
      </c>
    </row>
    <row r="9" spans="1:9">
      <c r="A9" s="37"/>
      <c r="B9" s="68" t="s">
        <v>61</v>
      </c>
      <c r="C9" s="37"/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f t="shared" si="0"/>
        <v>0</v>
      </c>
    </row>
    <row r="10" spans="1:9">
      <c r="A10" s="37"/>
      <c r="B10" s="68" t="s">
        <v>120</v>
      </c>
      <c r="C10" s="37"/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f t="shared" si="0"/>
        <v>0</v>
      </c>
    </row>
    <row r="11" spans="1:9">
      <c r="A11" s="37" t="s">
        <v>122</v>
      </c>
      <c r="B11" s="68" t="s">
        <v>121</v>
      </c>
      <c r="C11" s="68"/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f t="shared" si="0"/>
        <v>0</v>
      </c>
    </row>
    <row r="12" spans="1:9">
      <c r="A12" s="37"/>
      <c r="B12" s="68" t="s">
        <v>64</v>
      </c>
      <c r="C12" s="68"/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f t="shared" si="0"/>
        <v>0</v>
      </c>
    </row>
    <row r="13" spans="1:9">
      <c r="A13" s="37" t="s">
        <v>123</v>
      </c>
      <c r="B13" s="68" t="s">
        <v>62</v>
      </c>
      <c r="C13" s="68"/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f t="shared" si="0"/>
        <v>0</v>
      </c>
    </row>
    <row r="14" spans="1:9">
      <c r="A14" s="37" t="s">
        <v>124</v>
      </c>
      <c r="B14" s="68" t="s">
        <v>44</v>
      </c>
      <c r="C14" s="37" t="s">
        <v>202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1">
        <f t="shared" si="0"/>
        <v>0</v>
      </c>
    </row>
    <row r="15" spans="1:9" ht="24.75" thickBot="1">
      <c r="A15" s="228" t="s">
        <v>83</v>
      </c>
      <c r="B15" s="228"/>
      <c r="C15" s="228"/>
      <c r="D15" s="46">
        <f t="shared" ref="D15:I15" si="1">SUM(D6:D14)</f>
        <v>395000</v>
      </c>
      <c r="E15" s="46">
        <f t="shared" si="1"/>
        <v>333104.66000000003</v>
      </c>
      <c r="F15" s="46">
        <f t="shared" si="1"/>
        <v>0</v>
      </c>
      <c r="G15" s="46">
        <f t="shared" si="1"/>
        <v>0</v>
      </c>
      <c r="H15" s="46">
        <f t="shared" si="1"/>
        <v>0</v>
      </c>
      <c r="I15" s="46">
        <f t="shared" si="1"/>
        <v>333104.66000000003</v>
      </c>
    </row>
    <row r="16" spans="1:9" ht="24.75" thickTop="1"/>
    <row r="17" spans="1:1">
      <c r="A17" s="32"/>
    </row>
  </sheetData>
  <mergeCells count="4">
    <mergeCell ref="A1:I1"/>
    <mergeCell ref="A2:I2"/>
    <mergeCell ref="A3:I3"/>
    <mergeCell ref="A15:C15"/>
  </mergeCells>
  <pageMargins left="0.35" right="0.31496062992125984" top="0.74803149606299213" bottom="0.35433070866141736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17" sqref="D17:D18"/>
    </sheetView>
  </sheetViews>
  <sheetFormatPr defaultColWidth="9" defaultRowHeight="24"/>
  <cols>
    <col min="1" max="1" width="13" style="6" customWidth="1"/>
    <col min="2" max="2" width="19.42578125" style="6" customWidth="1"/>
    <col min="3" max="3" width="24.7109375" style="6" customWidth="1"/>
    <col min="4" max="4" width="14.42578125" style="6" customWidth="1"/>
    <col min="5" max="6" width="15" style="6" customWidth="1"/>
    <col min="7" max="7" width="12.42578125" style="6" customWidth="1"/>
    <col min="8" max="8" width="13.140625" style="6" customWidth="1"/>
    <col min="9" max="9" width="12.42578125" style="6" customWidth="1"/>
    <col min="10" max="10" width="13.7109375" style="6" customWidth="1"/>
    <col min="11" max="16384" width="9" style="6"/>
  </cols>
  <sheetData>
    <row r="1" spans="1:10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0">
      <c r="A2" s="224" t="s">
        <v>142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0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  <c r="I3" s="224"/>
      <c r="J3" s="224"/>
    </row>
    <row r="5" spans="1:10" s="34" customFormat="1" ht="72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143</v>
      </c>
      <c r="F5" s="70" t="s">
        <v>144</v>
      </c>
      <c r="G5" s="70" t="s">
        <v>145</v>
      </c>
      <c r="H5" s="70" t="s">
        <v>146</v>
      </c>
      <c r="I5" s="70" t="s">
        <v>147</v>
      </c>
      <c r="J5" s="138" t="s">
        <v>83</v>
      </c>
    </row>
    <row r="6" spans="1:10">
      <c r="A6" s="37" t="s">
        <v>116</v>
      </c>
      <c r="B6" s="37" t="s">
        <v>118</v>
      </c>
      <c r="C6" s="37" t="s">
        <v>202</v>
      </c>
      <c r="D6" s="40">
        <v>624000</v>
      </c>
      <c r="E6" s="40">
        <v>619860</v>
      </c>
      <c r="F6" s="40">
        <v>0</v>
      </c>
      <c r="G6" s="40">
        <v>0</v>
      </c>
      <c r="H6" s="40">
        <v>0</v>
      </c>
      <c r="I6" s="40">
        <v>0</v>
      </c>
      <c r="J6" s="40">
        <f t="shared" ref="J6:J14" si="0">SUM(E6:I6)</f>
        <v>619860</v>
      </c>
    </row>
    <row r="7" spans="1:10">
      <c r="A7" s="37" t="s">
        <v>119</v>
      </c>
      <c r="B7" s="68" t="s">
        <v>59</v>
      </c>
      <c r="C7" s="37" t="s">
        <v>202</v>
      </c>
      <c r="D7" s="40">
        <f>52000+9000+36000</f>
        <v>97000</v>
      </c>
      <c r="E7" s="40">
        <v>86740</v>
      </c>
      <c r="F7" s="40">
        <v>0</v>
      </c>
      <c r="G7" s="40">
        <v>0</v>
      </c>
      <c r="H7" s="40">
        <v>0</v>
      </c>
      <c r="I7" s="40">
        <v>0</v>
      </c>
      <c r="J7" s="40">
        <f t="shared" si="0"/>
        <v>86740</v>
      </c>
    </row>
    <row r="8" spans="1:10">
      <c r="A8" s="37"/>
      <c r="B8" s="68" t="s">
        <v>60</v>
      </c>
      <c r="C8" s="37" t="s">
        <v>202</v>
      </c>
      <c r="D8" s="40">
        <f>14000+33000+100000</f>
        <v>147000</v>
      </c>
      <c r="E8" s="40">
        <v>32644</v>
      </c>
      <c r="F8" s="40">
        <v>99992</v>
      </c>
      <c r="G8" s="40">
        <v>0</v>
      </c>
      <c r="H8" s="40">
        <v>0</v>
      </c>
      <c r="I8" s="40">
        <v>0</v>
      </c>
      <c r="J8" s="40">
        <f t="shared" si="0"/>
        <v>132636</v>
      </c>
    </row>
    <row r="9" spans="1:10">
      <c r="A9" s="37"/>
      <c r="B9" s="68" t="s">
        <v>61</v>
      </c>
      <c r="C9" s="37" t="s">
        <v>202</v>
      </c>
      <c r="D9" s="40">
        <f>8000+15000+19000</f>
        <v>42000</v>
      </c>
      <c r="E9" s="40">
        <v>12302.85</v>
      </c>
      <c r="F9" s="40">
        <v>0</v>
      </c>
      <c r="G9" s="40">
        <v>0</v>
      </c>
      <c r="H9" s="40">
        <v>0</v>
      </c>
      <c r="I9" s="40">
        <v>0</v>
      </c>
      <c r="J9" s="40">
        <f t="shared" si="0"/>
        <v>12302.85</v>
      </c>
    </row>
    <row r="10" spans="1:10">
      <c r="A10" s="37"/>
      <c r="B10" s="68" t="s">
        <v>120</v>
      </c>
      <c r="C10" s="37" t="s">
        <v>202</v>
      </c>
      <c r="D10" s="40">
        <v>45000</v>
      </c>
      <c r="E10" s="40">
        <v>0</v>
      </c>
      <c r="F10" s="40"/>
      <c r="G10" s="40">
        <v>0</v>
      </c>
      <c r="H10" s="40">
        <v>0</v>
      </c>
      <c r="I10" s="40">
        <v>0</v>
      </c>
      <c r="J10" s="40">
        <f t="shared" si="0"/>
        <v>0</v>
      </c>
    </row>
    <row r="11" spans="1:10">
      <c r="A11" s="37" t="s">
        <v>122</v>
      </c>
      <c r="B11" s="68" t="s">
        <v>121</v>
      </c>
      <c r="C11" s="37" t="s">
        <v>202</v>
      </c>
      <c r="D11" s="40">
        <v>53000</v>
      </c>
      <c r="E11" s="40">
        <v>53000</v>
      </c>
      <c r="F11" s="40">
        <v>0</v>
      </c>
      <c r="G11" s="40">
        <v>0</v>
      </c>
      <c r="H11" s="40">
        <v>0</v>
      </c>
      <c r="I11" s="40">
        <v>0</v>
      </c>
      <c r="J11" s="40">
        <f t="shared" si="0"/>
        <v>53000</v>
      </c>
    </row>
    <row r="12" spans="1:10">
      <c r="A12" s="37"/>
      <c r="B12" s="68" t="s">
        <v>64</v>
      </c>
      <c r="C12" s="37" t="s">
        <v>202</v>
      </c>
      <c r="D12" s="40">
        <v>25900</v>
      </c>
      <c r="E12" s="40">
        <v>0</v>
      </c>
      <c r="F12" s="40">
        <v>25500</v>
      </c>
      <c r="G12" s="40">
        <v>0</v>
      </c>
      <c r="H12" s="40">
        <v>0</v>
      </c>
      <c r="I12" s="40">
        <v>0</v>
      </c>
      <c r="J12" s="40">
        <f t="shared" si="0"/>
        <v>25500</v>
      </c>
    </row>
    <row r="13" spans="1:10">
      <c r="A13" s="37" t="s">
        <v>123</v>
      </c>
      <c r="B13" s="68" t="s">
        <v>62</v>
      </c>
      <c r="C13" s="68"/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f t="shared" si="0"/>
        <v>0</v>
      </c>
    </row>
    <row r="14" spans="1:10">
      <c r="A14" s="37" t="s">
        <v>124</v>
      </c>
      <c r="B14" s="68" t="s">
        <v>44</v>
      </c>
      <c r="C14" s="68"/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1">
        <f t="shared" si="0"/>
        <v>0</v>
      </c>
    </row>
    <row r="15" spans="1:10" ht="24.75" thickBot="1">
      <c r="A15" s="228" t="s">
        <v>83</v>
      </c>
      <c r="B15" s="228"/>
      <c r="C15" s="228"/>
      <c r="D15" s="46">
        <f t="shared" ref="D15:J15" si="1">SUM(D6:D14)</f>
        <v>1033900</v>
      </c>
      <c r="E15" s="46">
        <f t="shared" si="1"/>
        <v>804546.85</v>
      </c>
      <c r="F15" s="46">
        <f t="shared" si="1"/>
        <v>125492</v>
      </c>
      <c r="G15" s="46">
        <f t="shared" si="1"/>
        <v>0</v>
      </c>
      <c r="H15" s="46">
        <f t="shared" si="1"/>
        <v>0</v>
      </c>
      <c r="I15" s="46">
        <f t="shared" si="1"/>
        <v>0</v>
      </c>
      <c r="J15" s="46">
        <f t="shared" si="1"/>
        <v>930038.85</v>
      </c>
    </row>
    <row r="16" spans="1:10" ht="24.75" thickTop="1"/>
    <row r="17" spans="1:4">
      <c r="A17" s="32"/>
      <c r="D17" s="151"/>
    </row>
  </sheetData>
  <mergeCells count="4">
    <mergeCell ref="A1:J1"/>
    <mergeCell ref="A2:J2"/>
    <mergeCell ref="A3:J3"/>
    <mergeCell ref="A15:C15"/>
  </mergeCells>
  <pageMargins left="0.46" right="0.31496062992125984" top="0.74803149606299213" bottom="0.35433070866141736" header="0.31496062992125984" footer="0.31496062992125984"/>
  <pageSetup paperSize="9" scale="9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9"/>
  <sheetViews>
    <sheetView topLeftCell="A4" workbookViewId="0">
      <selection activeCell="C9" sqref="C9:C10"/>
    </sheetView>
  </sheetViews>
  <sheetFormatPr defaultColWidth="9" defaultRowHeight="24"/>
  <cols>
    <col min="1" max="1" width="13" style="6" customWidth="1"/>
    <col min="2" max="2" width="19.42578125" style="6" customWidth="1"/>
    <col min="3" max="3" width="24.7109375" style="6" customWidth="1"/>
    <col min="4" max="4" width="16.42578125" style="6" customWidth="1"/>
    <col min="5" max="5" width="18.42578125" style="6" customWidth="1"/>
    <col min="6" max="6" width="17.7109375" style="6" customWidth="1"/>
    <col min="7" max="7" width="18.42578125" style="6" customWidth="1"/>
    <col min="8" max="16384" width="9" style="6"/>
  </cols>
  <sheetData>
    <row r="1" spans="1:7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</row>
    <row r="2" spans="1:7">
      <c r="A2" s="224" t="s">
        <v>148</v>
      </c>
      <c r="B2" s="224"/>
      <c r="C2" s="224"/>
      <c r="D2" s="224"/>
      <c r="E2" s="224"/>
      <c r="F2" s="224"/>
      <c r="G2" s="224"/>
    </row>
    <row r="3" spans="1:7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</row>
    <row r="5" spans="1:7" s="34" customFormat="1" ht="96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149</v>
      </c>
      <c r="F5" s="70" t="s">
        <v>150</v>
      </c>
      <c r="G5" s="138" t="s">
        <v>83</v>
      </c>
    </row>
    <row r="6" spans="1:7">
      <c r="A6" s="37" t="s">
        <v>116</v>
      </c>
      <c r="B6" s="37" t="s">
        <v>118</v>
      </c>
      <c r="C6" s="37"/>
      <c r="D6" s="40">
        <v>0</v>
      </c>
      <c r="E6" s="40">
        <v>0</v>
      </c>
      <c r="F6" s="40">
        <v>0</v>
      </c>
      <c r="G6" s="40">
        <f t="shared" ref="G6:G16" si="0">SUM(E6:F6)</f>
        <v>0</v>
      </c>
    </row>
    <row r="7" spans="1:7">
      <c r="A7" s="37" t="s">
        <v>119</v>
      </c>
      <c r="B7" s="68" t="s">
        <v>59</v>
      </c>
      <c r="C7" s="37"/>
      <c r="D7" s="40">
        <v>0</v>
      </c>
      <c r="E7" s="40">
        <v>0</v>
      </c>
      <c r="F7" s="40">
        <v>0</v>
      </c>
      <c r="G7" s="40">
        <f t="shared" si="0"/>
        <v>0</v>
      </c>
    </row>
    <row r="8" spans="1:7">
      <c r="A8" s="37"/>
      <c r="B8" s="68" t="s">
        <v>60</v>
      </c>
      <c r="C8" s="37" t="s">
        <v>202</v>
      </c>
      <c r="D8" s="40">
        <v>119000</v>
      </c>
      <c r="E8" s="40">
        <v>0</v>
      </c>
      <c r="F8" s="40">
        <v>20392</v>
      </c>
      <c r="G8" s="40">
        <f t="shared" si="0"/>
        <v>20392</v>
      </c>
    </row>
    <row r="9" spans="1:7">
      <c r="A9" s="37"/>
      <c r="B9" s="68"/>
      <c r="C9" s="37" t="s">
        <v>240</v>
      </c>
      <c r="D9" s="40">
        <v>0</v>
      </c>
      <c r="E9" s="40">
        <v>0</v>
      </c>
      <c r="F9" s="40">
        <v>0</v>
      </c>
      <c r="G9" s="40">
        <f t="shared" si="0"/>
        <v>0</v>
      </c>
    </row>
    <row r="10" spans="1:7">
      <c r="A10" s="37"/>
      <c r="B10" s="68"/>
      <c r="C10" s="37" t="s">
        <v>239</v>
      </c>
      <c r="D10" s="40"/>
      <c r="E10" s="40">
        <v>0</v>
      </c>
      <c r="F10" s="40">
        <v>0</v>
      </c>
      <c r="G10" s="40">
        <f t="shared" si="0"/>
        <v>0</v>
      </c>
    </row>
    <row r="11" spans="1:7">
      <c r="A11" s="37"/>
      <c r="B11" s="68" t="s">
        <v>61</v>
      </c>
      <c r="C11" s="37"/>
      <c r="D11" s="40">
        <v>0</v>
      </c>
      <c r="E11" s="40">
        <v>0</v>
      </c>
      <c r="F11" s="40">
        <v>0</v>
      </c>
      <c r="G11" s="40">
        <f t="shared" si="0"/>
        <v>0</v>
      </c>
    </row>
    <row r="12" spans="1:7">
      <c r="A12" s="37"/>
      <c r="B12" s="68" t="s">
        <v>120</v>
      </c>
      <c r="C12" s="37"/>
      <c r="D12" s="40">
        <v>0</v>
      </c>
      <c r="E12" s="40">
        <v>0</v>
      </c>
      <c r="F12" s="40">
        <v>0</v>
      </c>
      <c r="G12" s="40">
        <f t="shared" si="0"/>
        <v>0</v>
      </c>
    </row>
    <row r="13" spans="1:7">
      <c r="A13" s="37" t="s">
        <v>122</v>
      </c>
      <c r="B13" s="68" t="s">
        <v>121</v>
      </c>
      <c r="C13" s="68"/>
      <c r="D13" s="40">
        <v>0</v>
      </c>
      <c r="E13" s="40">
        <v>0</v>
      </c>
      <c r="F13" s="40">
        <v>0</v>
      </c>
      <c r="G13" s="40">
        <f t="shared" si="0"/>
        <v>0</v>
      </c>
    </row>
    <row r="14" spans="1:7">
      <c r="A14" s="37"/>
      <c r="B14" s="68" t="s">
        <v>64</v>
      </c>
      <c r="C14" s="68"/>
      <c r="D14" s="40">
        <v>0</v>
      </c>
      <c r="E14" s="40">
        <v>0</v>
      </c>
      <c r="F14" s="40">
        <v>0</v>
      </c>
      <c r="G14" s="40">
        <f t="shared" si="0"/>
        <v>0</v>
      </c>
    </row>
    <row r="15" spans="1:7">
      <c r="A15" s="37" t="s">
        <v>123</v>
      </c>
      <c r="B15" s="68" t="s">
        <v>62</v>
      </c>
      <c r="C15" s="68"/>
      <c r="D15" s="40">
        <v>0</v>
      </c>
      <c r="E15" s="40">
        <v>0</v>
      </c>
      <c r="F15" s="40">
        <v>0</v>
      </c>
      <c r="G15" s="40">
        <f t="shared" si="0"/>
        <v>0</v>
      </c>
    </row>
    <row r="16" spans="1:7">
      <c r="A16" s="37" t="s">
        <v>124</v>
      </c>
      <c r="B16" s="68" t="s">
        <v>44</v>
      </c>
      <c r="C16" s="68"/>
      <c r="D16" s="40">
        <v>0</v>
      </c>
      <c r="E16" s="40">
        <v>0</v>
      </c>
      <c r="F16" s="40">
        <v>0</v>
      </c>
      <c r="G16" s="41">
        <f t="shared" si="0"/>
        <v>0</v>
      </c>
    </row>
    <row r="17" spans="1:7" ht="24.75" thickBot="1">
      <c r="A17" s="228" t="s">
        <v>83</v>
      </c>
      <c r="B17" s="228"/>
      <c r="C17" s="228"/>
      <c r="D17" s="46">
        <f>SUM(D6:D16)</f>
        <v>119000</v>
      </c>
      <c r="E17" s="46">
        <f>SUM(E6:E16)</f>
        <v>0</v>
      </c>
      <c r="F17" s="46">
        <f>SUM(F6:F16)</f>
        <v>20392</v>
      </c>
      <c r="G17" s="46">
        <f>SUM(G6:G16)</f>
        <v>20392</v>
      </c>
    </row>
    <row r="18" spans="1:7" ht="24.75" thickTop="1"/>
    <row r="19" spans="1:7">
      <c r="A19" s="32"/>
    </row>
  </sheetData>
  <mergeCells count="4">
    <mergeCell ref="A1:G1"/>
    <mergeCell ref="A2:G2"/>
    <mergeCell ref="A3:G3"/>
    <mergeCell ref="A17:C17"/>
  </mergeCells>
  <pageMargins left="0.83" right="0.31496062992125984" top="0.74803149606299213" bottom="0.35433070866141736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G15" sqref="G15"/>
    </sheetView>
  </sheetViews>
  <sheetFormatPr defaultColWidth="9" defaultRowHeight="24"/>
  <cols>
    <col min="1" max="1" width="13" style="6" customWidth="1"/>
    <col min="2" max="2" width="19.42578125" style="6" customWidth="1"/>
    <col min="3" max="3" width="24.7109375" style="6" customWidth="1"/>
    <col min="4" max="4" width="15.140625" style="6" customWidth="1"/>
    <col min="5" max="5" width="15.42578125" style="6" customWidth="1"/>
    <col min="6" max="6" width="14.5703125" style="6" customWidth="1"/>
    <col min="7" max="7" width="14.7109375" style="6" customWidth="1"/>
    <col min="8" max="8" width="14.42578125" style="6" customWidth="1"/>
    <col min="9" max="9" width="15.7109375" style="6" customWidth="1"/>
    <col min="10" max="16384" width="9" style="6"/>
  </cols>
  <sheetData>
    <row r="1" spans="1:9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  <c r="I1" s="224"/>
    </row>
    <row r="2" spans="1:9">
      <c r="A2" s="224" t="s">
        <v>151</v>
      </c>
      <c r="B2" s="224"/>
      <c r="C2" s="224"/>
      <c r="D2" s="224"/>
      <c r="E2" s="224"/>
      <c r="F2" s="224"/>
      <c r="G2" s="224"/>
      <c r="H2" s="224"/>
      <c r="I2" s="224"/>
    </row>
    <row r="3" spans="1:9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  <c r="I3" s="224"/>
    </row>
    <row r="5" spans="1:9" s="34" customFormat="1" ht="96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152</v>
      </c>
      <c r="F5" s="70" t="s">
        <v>153</v>
      </c>
      <c r="G5" s="70" t="s">
        <v>154</v>
      </c>
      <c r="H5" s="70" t="s">
        <v>155</v>
      </c>
      <c r="I5" s="138" t="s">
        <v>83</v>
      </c>
    </row>
    <row r="6" spans="1:9">
      <c r="A6" s="37" t="s">
        <v>116</v>
      </c>
      <c r="B6" s="37" t="s">
        <v>118</v>
      </c>
      <c r="C6" s="37"/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f t="shared" ref="I6:I14" si="0">SUM(E6:H6)</f>
        <v>0</v>
      </c>
    </row>
    <row r="7" spans="1:9">
      <c r="A7" s="37" t="s">
        <v>119</v>
      </c>
      <c r="B7" s="68" t="s">
        <v>59</v>
      </c>
      <c r="C7" s="37"/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f t="shared" si="0"/>
        <v>0</v>
      </c>
    </row>
    <row r="8" spans="1:9">
      <c r="A8" s="37"/>
      <c r="B8" s="68" t="s">
        <v>60</v>
      </c>
      <c r="C8" s="37" t="s">
        <v>202</v>
      </c>
      <c r="D8" s="40">
        <v>90000</v>
      </c>
      <c r="E8" s="40">
        <v>0</v>
      </c>
      <c r="F8" s="40">
        <v>0</v>
      </c>
      <c r="G8" s="40">
        <v>66000</v>
      </c>
      <c r="H8" s="40">
        <v>0</v>
      </c>
      <c r="I8" s="40">
        <f t="shared" si="0"/>
        <v>66000</v>
      </c>
    </row>
    <row r="9" spans="1:9">
      <c r="A9" s="37"/>
      <c r="B9" s="68" t="s">
        <v>61</v>
      </c>
      <c r="C9" s="37"/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f t="shared" si="0"/>
        <v>0</v>
      </c>
    </row>
    <row r="10" spans="1:9">
      <c r="A10" s="37"/>
      <c r="B10" s="68" t="s">
        <v>120</v>
      </c>
      <c r="C10" s="37"/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f t="shared" si="0"/>
        <v>0</v>
      </c>
    </row>
    <row r="11" spans="1:9">
      <c r="A11" s="37" t="s">
        <v>122</v>
      </c>
      <c r="B11" s="68" t="s">
        <v>121</v>
      </c>
      <c r="C11" s="68"/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f t="shared" si="0"/>
        <v>0</v>
      </c>
    </row>
    <row r="12" spans="1:9">
      <c r="A12" s="37"/>
      <c r="B12" s="68" t="s">
        <v>64</v>
      </c>
      <c r="C12" s="68"/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f t="shared" si="0"/>
        <v>0</v>
      </c>
    </row>
    <row r="13" spans="1:9">
      <c r="A13" s="37" t="s">
        <v>123</v>
      </c>
      <c r="B13" s="68" t="s">
        <v>62</v>
      </c>
      <c r="C13" s="68"/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f t="shared" si="0"/>
        <v>0</v>
      </c>
    </row>
    <row r="14" spans="1:9">
      <c r="A14" s="37" t="s">
        <v>124</v>
      </c>
      <c r="B14" s="68" t="s">
        <v>44</v>
      </c>
      <c r="C14" s="37" t="s">
        <v>202</v>
      </c>
      <c r="D14" s="40">
        <v>43000</v>
      </c>
      <c r="E14" s="40">
        <v>0</v>
      </c>
      <c r="F14" s="40">
        <v>0</v>
      </c>
      <c r="G14" s="40">
        <v>3500</v>
      </c>
      <c r="H14" s="40">
        <v>0</v>
      </c>
      <c r="I14" s="41">
        <f t="shared" si="0"/>
        <v>3500</v>
      </c>
    </row>
    <row r="15" spans="1:9" ht="24.75" thickBot="1">
      <c r="A15" s="228" t="s">
        <v>83</v>
      </c>
      <c r="B15" s="228"/>
      <c r="C15" s="228"/>
      <c r="D15" s="46">
        <f t="shared" ref="D15:I15" si="1">SUM(D6:D14)</f>
        <v>133000</v>
      </c>
      <c r="E15" s="46">
        <f t="shared" si="1"/>
        <v>0</v>
      </c>
      <c r="F15" s="46">
        <f t="shared" si="1"/>
        <v>0</v>
      </c>
      <c r="G15" s="46">
        <f t="shared" si="1"/>
        <v>69500</v>
      </c>
      <c r="H15" s="46">
        <f t="shared" si="1"/>
        <v>0</v>
      </c>
      <c r="I15" s="46">
        <f t="shared" si="1"/>
        <v>69500</v>
      </c>
    </row>
    <row r="16" spans="1:9" ht="24.75" thickTop="1"/>
    <row r="17" spans="1:1">
      <c r="A17" s="32"/>
    </row>
  </sheetData>
  <mergeCells count="4">
    <mergeCell ref="A1:I1"/>
    <mergeCell ref="A2:I2"/>
    <mergeCell ref="A3:I3"/>
    <mergeCell ref="A15:C15"/>
  </mergeCells>
  <pageMargins left="0.37" right="0.31496062992125984" top="0.74803149606299213" bottom="0.35433070866141736" header="0.31496062992125984" footer="0.31496062992125984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F9" sqref="F9"/>
    </sheetView>
  </sheetViews>
  <sheetFormatPr defaultColWidth="9" defaultRowHeight="24"/>
  <cols>
    <col min="1" max="1" width="13" style="6" customWidth="1"/>
    <col min="2" max="2" width="19.42578125" style="6" customWidth="1"/>
    <col min="3" max="3" width="24.7109375" style="6" customWidth="1"/>
    <col min="4" max="4" width="17.7109375" style="6" customWidth="1"/>
    <col min="5" max="5" width="19.42578125" style="6" customWidth="1"/>
    <col min="6" max="6" width="20.7109375" style="6" customWidth="1"/>
    <col min="7" max="7" width="19.140625" style="6" customWidth="1"/>
    <col min="8" max="16384" width="9" style="6"/>
  </cols>
  <sheetData>
    <row r="1" spans="1:7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</row>
    <row r="2" spans="1:7">
      <c r="A2" s="224" t="s">
        <v>156</v>
      </c>
      <c r="B2" s="224"/>
      <c r="C2" s="224"/>
      <c r="D2" s="224"/>
      <c r="E2" s="224"/>
      <c r="F2" s="224"/>
      <c r="G2" s="224"/>
    </row>
    <row r="3" spans="1:7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</row>
    <row r="5" spans="1:7" s="34" customFormat="1" ht="48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157</v>
      </c>
      <c r="F5" s="70" t="s">
        <v>158</v>
      </c>
      <c r="G5" s="138" t="s">
        <v>83</v>
      </c>
    </row>
    <row r="6" spans="1:7">
      <c r="A6" s="37" t="s">
        <v>116</v>
      </c>
      <c r="B6" s="37" t="s">
        <v>118</v>
      </c>
      <c r="C6" s="37"/>
      <c r="D6" s="40">
        <v>0</v>
      </c>
      <c r="E6" s="40">
        <v>0</v>
      </c>
      <c r="F6" s="40">
        <v>0</v>
      </c>
      <c r="G6" s="40">
        <f t="shared" ref="G6:G14" si="0">SUM(E6:F6)</f>
        <v>0</v>
      </c>
    </row>
    <row r="7" spans="1:7">
      <c r="A7" s="37" t="s">
        <v>119</v>
      </c>
      <c r="B7" s="68" t="s">
        <v>59</v>
      </c>
      <c r="C7" s="37"/>
      <c r="D7" s="40">
        <v>0</v>
      </c>
      <c r="E7" s="40">
        <v>0</v>
      </c>
      <c r="F7" s="40">
        <v>0</v>
      </c>
      <c r="G7" s="40">
        <f t="shared" si="0"/>
        <v>0</v>
      </c>
    </row>
    <row r="8" spans="1:7">
      <c r="A8" s="37"/>
      <c r="B8" s="68" t="s">
        <v>60</v>
      </c>
      <c r="C8" s="37" t="s">
        <v>202</v>
      </c>
      <c r="D8" s="40">
        <v>99500</v>
      </c>
      <c r="E8" s="40">
        <v>0</v>
      </c>
      <c r="F8" s="40">
        <v>98560</v>
      </c>
      <c r="G8" s="40">
        <f t="shared" si="0"/>
        <v>98560</v>
      </c>
    </row>
    <row r="9" spans="1:7">
      <c r="A9" s="37"/>
      <c r="B9" s="68" t="s">
        <v>61</v>
      </c>
      <c r="C9" s="37"/>
      <c r="D9" s="40">
        <v>0</v>
      </c>
      <c r="E9" s="40">
        <v>0</v>
      </c>
      <c r="F9" s="40">
        <v>0</v>
      </c>
      <c r="G9" s="40">
        <f t="shared" si="0"/>
        <v>0</v>
      </c>
    </row>
    <row r="10" spans="1:7">
      <c r="A10" s="37"/>
      <c r="B10" s="68" t="s">
        <v>120</v>
      </c>
      <c r="C10" s="37"/>
      <c r="D10" s="40">
        <v>0</v>
      </c>
      <c r="E10" s="40">
        <v>0</v>
      </c>
      <c r="F10" s="40">
        <v>0</v>
      </c>
      <c r="G10" s="40">
        <f t="shared" si="0"/>
        <v>0</v>
      </c>
    </row>
    <row r="11" spans="1:7">
      <c r="A11" s="37" t="s">
        <v>122</v>
      </c>
      <c r="B11" s="68" t="s">
        <v>121</v>
      </c>
      <c r="C11" s="68"/>
      <c r="D11" s="40">
        <v>0</v>
      </c>
      <c r="E11" s="40">
        <v>0</v>
      </c>
      <c r="F11" s="40">
        <v>0</v>
      </c>
      <c r="G11" s="40">
        <f t="shared" si="0"/>
        <v>0</v>
      </c>
    </row>
    <row r="12" spans="1:7">
      <c r="A12" s="37"/>
      <c r="B12" s="68" t="s">
        <v>64</v>
      </c>
      <c r="C12" s="37" t="s">
        <v>202</v>
      </c>
      <c r="D12" s="40">
        <v>0</v>
      </c>
      <c r="E12" s="40">
        <v>0</v>
      </c>
      <c r="F12" s="40">
        <v>0</v>
      </c>
      <c r="G12" s="40">
        <f t="shared" si="0"/>
        <v>0</v>
      </c>
    </row>
    <row r="13" spans="1:7">
      <c r="A13" s="37" t="s">
        <v>123</v>
      </c>
      <c r="B13" s="68" t="s">
        <v>62</v>
      </c>
      <c r="C13" s="68"/>
      <c r="D13" s="40">
        <v>0</v>
      </c>
      <c r="E13" s="40">
        <v>0</v>
      </c>
      <c r="F13" s="40">
        <v>0</v>
      </c>
      <c r="G13" s="40">
        <f t="shared" si="0"/>
        <v>0</v>
      </c>
    </row>
    <row r="14" spans="1:7">
      <c r="A14" s="37" t="s">
        <v>124</v>
      </c>
      <c r="B14" s="68" t="s">
        <v>44</v>
      </c>
      <c r="C14" s="68"/>
      <c r="D14" s="40">
        <v>0</v>
      </c>
      <c r="E14" s="40">
        <v>0</v>
      </c>
      <c r="F14" s="40">
        <v>0</v>
      </c>
      <c r="G14" s="41">
        <f t="shared" si="0"/>
        <v>0</v>
      </c>
    </row>
    <row r="15" spans="1:7" ht="24.75" thickBot="1">
      <c r="A15" s="228" t="s">
        <v>83</v>
      </c>
      <c r="B15" s="228"/>
      <c r="C15" s="228"/>
      <c r="D15" s="46">
        <f>SUM(D6:D14)</f>
        <v>99500</v>
      </c>
      <c r="E15" s="46">
        <f>SUM(E6:E14)</f>
        <v>0</v>
      </c>
      <c r="F15" s="46">
        <f>SUM(F6:F14)</f>
        <v>98560</v>
      </c>
      <c r="G15" s="46">
        <f>SUM(G6:G14)</f>
        <v>98560</v>
      </c>
    </row>
    <row r="16" spans="1:7" ht="24.75" thickTop="1"/>
    <row r="17" spans="1:1">
      <c r="A17" s="32"/>
    </row>
  </sheetData>
  <mergeCells count="4">
    <mergeCell ref="A1:G1"/>
    <mergeCell ref="A2:G2"/>
    <mergeCell ref="A3:G3"/>
    <mergeCell ref="A15:C15"/>
  </mergeCells>
  <pageMargins left="0.57999999999999996" right="0.31496062992125984" top="0.74803149606299213" bottom="0.35433070866141736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D20" sqref="D20"/>
    </sheetView>
  </sheetViews>
  <sheetFormatPr defaultColWidth="9" defaultRowHeight="24"/>
  <cols>
    <col min="1" max="1" width="13" style="6" customWidth="1"/>
    <col min="2" max="2" width="19.42578125" style="6" customWidth="1"/>
    <col min="3" max="3" width="24.7109375" style="6" customWidth="1"/>
    <col min="4" max="4" width="15.5703125" style="6" customWidth="1"/>
    <col min="5" max="5" width="17.28515625" style="6" customWidth="1"/>
    <col min="6" max="7" width="16.28515625" style="6" customWidth="1"/>
    <col min="8" max="8" width="17.5703125" style="6" customWidth="1"/>
    <col min="9" max="16384" width="9" style="6"/>
  </cols>
  <sheetData>
    <row r="1" spans="1:8">
      <c r="A1" s="224" t="str">
        <f>+งบแสดงฐานะการเงิน!A1</f>
        <v>องค์การบริหารส่วนตำบลท่าซอม</v>
      </c>
      <c r="B1" s="224"/>
      <c r="C1" s="224"/>
      <c r="D1" s="224"/>
      <c r="E1" s="224"/>
      <c r="F1" s="224"/>
      <c r="G1" s="224"/>
      <c r="H1" s="224"/>
    </row>
    <row r="2" spans="1:8">
      <c r="A2" s="224" t="s">
        <v>159</v>
      </c>
      <c r="B2" s="224"/>
      <c r="C2" s="224"/>
      <c r="D2" s="224"/>
      <c r="E2" s="224"/>
      <c r="F2" s="224"/>
      <c r="G2" s="224"/>
      <c r="H2" s="224"/>
    </row>
    <row r="3" spans="1:8">
      <c r="A3" s="224" t="str">
        <f>+'ตามแผนงาน 1'!A3:F3</f>
        <v>ตั้งแต่วันที่  1  ตุลาคม 2559   ถึงวันที่ 30  กันยายน 2560</v>
      </c>
      <c r="B3" s="224"/>
      <c r="C3" s="224"/>
      <c r="D3" s="224"/>
      <c r="E3" s="224"/>
      <c r="F3" s="224"/>
      <c r="G3" s="224"/>
      <c r="H3" s="224"/>
    </row>
    <row r="5" spans="1:8" s="34" customFormat="1" ht="32.25" customHeight="1">
      <c r="A5" s="138" t="s">
        <v>115</v>
      </c>
      <c r="B5" s="138" t="s">
        <v>94</v>
      </c>
      <c r="C5" s="138" t="s">
        <v>91</v>
      </c>
      <c r="D5" s="66" t="s">
        <v>45</v>
      </c>
      <c r="E5" s="70" t="s">
        <v>160</v>
      </c>
      <c r="F5" s="70" t="s">
        <v>161</v>
      </c>
      <c r="G5" s="70" t="s">
        <v>162</v>
      </c>
      <c r="H5" s="138" t="s">
        <v>83</v>
      </c>
    </row>
    <row r="6" spans="1:8">
      <c r="A6" s="37" t="s">
        <v>116</v>
      </c>
      <c r="B6" s="37" t="s">
        <v>118</v>
      </c>
      <c r="C6" s="37"/>
      <c r="D6" s="40">
        <v>0</v>
      </c>
      <c r="E6" s="40">
        <v>0</v>
      </c>
      <c r="F6" s="40">
        <v>0</v>
      </c>
      <c r="G6" s="40">
        <v>0</v>
      </c>
      <c r="H6" s="40">
        <f t="shared" ref="H6:H16" si="0">SUM(E6:G6)</f>
        <v>0</v>
      </c>
    </row>
    <row r="7" spans="1:8">
      <c r="A7" s="37" t="s">
        <v>119</v>
      </c>
      <c r="B7" s="68" t="s">
        <v>59</v>
      </c>
      <c r="C7" s="37"/>
      <c r="D7" s="40">
        <v>0</v>
      </c>
      <c r="E7" s="40">
        <v>0</v>
      </c>
      <c r="F7" s="40">
        <v>0</v>
      </c>
      <c r="G7" s="40">
        <v>0</v>
      </c>
      <c r="H7" s="40">
        <f t="shared" si="0"/>
        <v>0</v>
      </c>
    </row>
    <row r="8" spans="1:8">
      <c r="A8" s="37"/>
      <c r="B8" s="68" t="s">
        <v>60</v>
      </c>
      <c r="C8" s="37" t="s">
        <v>202</v>
      </c>
      <c r="D8" s="40">
        <f>288000+190000</f>
        <v>478000</v>
      </c>
      <c r="E8" s="40">
        <v>450900</v>
      </c>
      <c r="F8" s="40">
        <v>0</v>
      </c>
      <c r="G8" s="40">
        <v>0</v>
      </c>
      <c r="H8" s="40">
        <f t="shared" si="0"/>
        <v>450900</v>
      </c>
    </row>
    <row r="9" spans="1:8">
      <c r="A9" s="37"/>
      <c r="B9" s="68" t="s">
        <v>61</v>
      </c>
      <c r="C9" s="37" t="s">
        <v>202</v>
      </c>
      <c r="D9" s="40">
        <f>73000+18000</f>
        <v>91000</v>
      </c>
      <c r="E9" s="40">
        <v>87325</v>
      </c>
      <c r="F9" s="40">
        <v>0</v>
      </c>
      <c r="G9" s="40">
        <v>0</v>
      </c>
      <c r="H9" s="40">
        <f t="shared" si="0"/>
        <v>87325</v>
      </c>
    </row>
    <row r="10" spans="1:8">
      <c r="A10" s="37"/>
      <c r="B10" s="68" t="s">
        <v>120</v>
      </c>
      <c r="C10" s="37" t="s">
        <v>202</v>
      </c>
      <c r="D10" s="40">
        <v>600000</v>
      </c>
      <c r="E10" s="40">
        <v>427893.81</v>
      </c>
      <c r="F10" s="40">
        <v>0</v>
      </c>
      <c r="G10" s="40">
        <v>0</v>
      </c>
      <c r="H10" s="40">
        <f t="shared" si="0"/>
        <v>427893.81</v>
      </c>
    </row>
    <row r="11" spans="1:8">
      <c r="A11" s="37" t="s">
        <v>122</v>
      </c>
      <c r="B11" s="68" t="s">
        <v>121</v>
      </c>
      <c r="C11" s="68"/>
      <c r="D11" s="40">
        <v>0</v>
      </c>
      <c r="E11" s="40">
        <v>0</v>
      </c>
      <c r="F11" s="40">
        <v>0</v>
      </c>
      <c r="G11" s="40">
        <v>0</v>
      </c>
      <c r="H11" s="40">
        <f t="shared" si="0"/>
        <v>0</v>
      </c>
    </row>
    <row r="12" spans="1:8">
      <c r="A12" s="37"/>
      <c r="B12" s="68" t="s">
        <v>64</v>
      </c>
      <c r="C12" s="37" t="s">
        <v>202</v>
      </c>
      <c r="D12" s="40">
        <v>0</v>
      </c>
      <c r="E12" s="40">
        <v>0</v>
      </c>
      <c r="F12" s="40">
        <v>0</v>
      </c>
      <c r="G12" s="40">
        <v>0</v>
      </c>
      <c r="H12" s="40">
        <f t="shared" si="0"/>
        <v>0</v>
      </c>
    </row>
    <row r="13" spans="1:8">
      <c r="A13" s="37"/>
      <c r="B13" s="68"/>
      <c r="C13" s="37" t="s">
        <v>240</v>
      </c>
      <c r="D13" s="40">
        <v>1467060</v>
      </c>
      <c r="E13" s="40">
        <v>1467060</v>
      </c>
      <c r="F13" s="40">
        <v>0</v>
      </c>
      <c r="G13" s="40">
        <v>0</v>
      </c>
      <c r="H13" s="40">
        <f t="shared" si="0"/>
        <v>1467060</v>
      </c>
    </row>
    <row r="14" spans="1:8">
      <c r="A14" s="37"/>
      <c r="B14" s="68"/>
      <c r="C14" s="37" t="s">
        <v>239</v>
      </c>
      <c r="D14" s="40"/>
      <c r="E14" s="40"/>
      <c r="F14" s="40"/>
      <c r="G14" s="40"/>
      <c r="H14" s="40"/>
    </row>
    <row r="15" spans="1:8">
      <c r="A15" s="37" t="s">
        <v>123</v>
      </c>
      <c r="B15" s="68" t="s">
        <v>62</v>
      </c>
      <c r="C15" s="68"/>
      <c r="D15" s="40">
        <v>0</v>
      </c>
      <c r="E15" s="40">
        <v>0</v>
      </c>
      <c r="F15" s="40">
        <v>0</v>
      </c>
      <c r="G15" s="40">
        <v>0</v>
      </c>
      <c r="H15" s="40">
        <f t="shared" si="0"/>
        <v>0</v>
      </c>
    </row>
    <row r="16" spans="1:8">
      <c r="A16" s="37" t="s">
        <v>124</v>
      </c>
      <c r="B16" s="68" t="s">
        <v>44</v>
      </c>
      <c r="C16" s="68"/>
      <c r="D16" s="40">
        <v>0</v>
      </c>
      <c r="E16" s="40">
        <v>0</v>
      </c>
      <c r="F16" s="40">
        <v>0</v>
      </c>
      <c r="G16" s="40">
        <v>0</v>
      </c>
      <c r="H16" s="41">
        <f t="shared" si="0"/>
        <v>0</v>
      </c>
    </row>
    <row r="17" spans="1:8" ht="24.75" thickBot="1">
      <c r="A17" s="228" t="s">
        <v>83</v>
      </c>
      <c r="B17" s="228"/>
      <c r="C17" s="228"/>
      <c r="D17" s="46">
        <f>SUM(D6:D16)</f>
        <v>2636060</v>
      </c>
      <c r="E17" s="46">
        <f>SUM(E6:E16)</f>
        <v>2433178.81</v>
      </c>
      <c r="F17" s="46">
        <f>SUM(F6:F16)</f>
        <v>0</v>
      </c>
      <c r="G17" s="46">
        <f>SUM(G6:G16)</f>
        <v>0</v>
      </c>
      <c r="H17" s="46">
        <f>SUM(H6:H16)</f>
        <v>2433178.81</v>
      </c>
    </row>
    <row r="18" spans="1:8" ht="24.75" thickTop="1"/>
    <row r="19" spans="1:8">
      <c r="A19" s="32"/>
    </row>
    <row r="20" spans="1:8">
      <c r="D20" s="151"/>
    </row>
  </sheetData>
  <mergeCells count="4">
    <mergeCell ref="A1:H1"/>
    <mergeCell ref="A2:H2"/>
    <mergeCell ref="A3:H3"/>
    <mergeCell ref="A17:C17"/>
  </mergeCells>
  <pageMargins left="0.36" right="0.31496062992125984" top="0.74803149606299213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33"/>
  <sheetViews>
    <sheetView zoomScale="120" zoomScaleNormal="120" workbookViewId="0">
      <selection activeCell="Q29" sqref="Q29"/>
    </sheetView>
  </sheetViews>
  <sheetFormatPr defaultColWidth="9" defaultRowHeight="23.25"/>
  <cols>
    <col min="1" max="1" width="11.85546875" style="1" customWidth="1"/>
    <col min="2" max="2" width="18.28515625" style="1" customWidth="1"/>
    <col min="3" max="3" width="24.5703125" style="1" customWidth="1"/>
    <col min="4" max="4" width="13.42578125" style="1" customWidth="1"/>
    <col min="5" max="5" width="12.5703125" style="1" customWidth="1"/>
    <col min="6" max="6" width="13.28515625" style="1" customWidth="1"/>
    <col min="7" max="7" width="11.85546875" style="1" customWidth="1"/>
    <col min="8" max="8" width="9.28515625" style="1" customWidth="1"/>
    <col min="9" max="9" width="13.42578125" style="1" customWidth="1"/>
    <col min="10" max="11" width="12.5703125" style="1" customWidth="1"/>
    <col min="12" max="12" width="11.140625" style="1" customWidth="1"/>
    <col min="13" max="13" width="11.42578125" style="1" customWidth="1"/>
    <col min="14" max="14" width="13.42578125" style="1" customWidth="1"/>
    <col min="15" max="15" width="13.7109375" style="1" customWidth="1"/>
    <col min="16" max="16" width="16.5703125" style="1" customWidth="1"/>
    <col min="17" max="17" width="9" style="1"/>
    <col min="18" max="18" width="21.5703125" style="1" customWidth="1"/>
    <col min="19" max="16384" width="9" style="1"/>
  </cols>
  <sheetData>
    <row r="1" spans="1:16">
      <c r="A1" s="230" t="str">
        <f>+งบแสดงฐานะการเงิน!A1</f>
        <v>องค์การบริหารส่วนตำบลท่าซอม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spans="1:16">
      <c r="A2" s="230" t="s">
        <v>163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>
      <c r="A3" s="230" t="str">
        <f>+'ตามแผนงาน 1'!A3:F3</f>
        <v>ตั้งแต่วันที่  1  ตุลาคม 2559   ถึงวันที่ 30  กันยายน 2560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</row>
    <row r="5" spans="1:16">
      <c r="A5" s="232" t="s">
        <v>115</v>
      </c>
      <c r="B5" s="232" t="s">
        <v>94</v>
      </c>
      <c r="C5" s="232" t="s">
        <v>91</v>
      </c>
      <c r="D5" s="232" t="s">
        <v>92</v>
      </c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</row>
    <row r="6" spans="1:16" s="75" customFormat="1" ht="116.25">
      <c r="A6" s="232"/>
      <c r="B6" s="232"/>
      <c r="C6" s="232"/>
      <c r="D6" s="71" t="s">
        <v>164</v>
      </c>
      <c r="E6" s="71" t="s">
        <v>165</v>
      </c>
      <c r="F6" s="72" t="s">
        <v>166</v>
      </c>
      <c r="G6" s="71" t="s">
        <v>242</v>
      </c>
      <c r="H6" s="71" t="s">
        <v>167</v>
      </c>
      <c r="I6" s="71" t="s">
        <v>168</v>
      </c>
      <c r="J6" s="71" t="s">
        <v>169</v>
      </c>
      <c r="K6" s="71" t="s">
        <v>170</v>
      </c>
      <c r="L6" s="71" t="s">
        <v>171</v>
      </c>
      <c r="M6" s="71" t="s">
        <v>241</v>
      </c>
      <c r="N6" s="71" t="s">
        <v>173</v>
      </c>
      <c r="O6" s="73" t="s">
        <v>63</v>
      </c>
      <c r="P6" s="140" t="s">
        <v>83</v>
      </c>
    </row>
    <row r="7" spans="1:16" s="139" customFormat="1">
      <c r="A7" s="153" t="s">
        <v>63</v>
      </c>
      <c r="B7" s="153" t="s">
        <v>63</v>
      </c>
      <c r="C7" s="153" t="s">
        <v>202</v>
      </c>
      <c r="D7" s="93">
        <v>0</v>
      </c>
      <c r="E7" s="93">
        <v>0</v>
      </c>
      <c r="F7" s="92">
        <v>0</v>
      </c>
      <c r="G7" s="93">
        <v>0</v>
      </c>
      <c r="H7" s="93">
        <v>0</v>
      </c>
      <c r="I7" s="93">
        <v>0</v>
      </c>
      <c r="J7" s="93">
        <v>0</v>
      </c>
      <c r="K7" s="93">
        <v>0</v>
      </c>
      <c r="L7" s="93">
        <v>0</v>
      </c>
      <c r="M7" s="93">
        <v>0</v>
      </c>
      <c r="N7" s="93">
        <v>0</v>
      </c>
      <c r="O7" s="152">
        <f>6252799-1000</f>
        <v>6251799</v>
      </c>
      <c r="P7" s="82">
        <f>SUM(D7:O7)</f>
        <v>6251799</v>
      </c>
    </row>
    <row r="8" spans="1:16" s="139" customFormat="1">
      <c r="A8" s="146"/>
      <c r="B8" s="146"/>
      <c r="C8" s="87" t="s">
        <v>240</v>
      </c>
      <c r="D8" s="96">
        <v>0</v>
      </c>
      <c r="E8" s="96">
        <v>0</v>
      </c>
      <c r="F8" s="95">
        <v>0</v>
      </c>
      <c r="G8" s="96">
        <v>0</v>
      </c>
      <c r="H8" s="96">
        <v>0</v>
      </c>
      <c r="I8" s="96">
        <v>0</v>
      </c>
      <c r="J8" s="96">
        <v>0</v>
      </c>
      <c r="K8" s="96">
        <v>0</v>
      </c>
      <c r="L8" s="96">
        <v>0</v>
      </c>
      <c r="M8" s="96">
        <v>0</v>
      </c>
      <c r="N8" s="96">
        <v>0</v>
      </c>
      <c r="O8" s="145"/>
      <c r="P8" s="82">
        <f t="shared" ref="P8:P29" si="0">SUM(D8:O8)</f>
        <v>0</v>
      </c>
    </row>
    <row r="9" spans="1:16" s="139" customFormat="1">
      <c r="A9" s="146"/>
      <c r="B9" s="146"/>
      <c r="C9" s="87" t="s">
        <v>239</v>
      </c>
      <c r="D9" s="147"/>
      <c r="E9" s="147"/>
      <c r="F9" s="148"/>
      <c r="G9" s="147"/>
      <c r="H9" s="147"/>
      <c r="I9" s="147"/>
      <c r="J9" s="147"/>
      <c r="K9" s="147"/>
      <c r="L9" s="147"/>
      <c r="M9" s="147"/>
      <c r="N9" s="147"/>
      <c r="O9" s="147"/>
      <c r="P9" s="82"/>
    </row>
    <row r="10" spans="1:16">
      <c r="A10" s="77" t="s">
        <v>116</v>
      </c>
      <c r="B10" s="77" t="s">
        <v>117</v>
      </c>
      <c r="C10" s="77" t="s">
        <v>202</v>
      </c>
      <c r="D10" s="82">
        <v>2398320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f t="shared" si="0"/>
        <v>2398320</v>
      </c>
    </row>
    <row r="11" spans="1:16">
      <c r="A11" s="77"/>
      <c r="B11" s="77" t="s">
        <v>118</v>
      </c>
      <c r="C11" s="77" t="s">
        <v>202</v>
      </c>
      <c r="D11" s="82">
        <v>3832620</v>
      </c>
      <c r="E11" s="82">
        <v>0</v>
      </c>
      <c r="F11" s="82">
        <v>2082635.37</v>
      </c>
      <c r="G11" s="82">
        <v>120000</v>
      </c>
      <c r="H11" s="82">
        <v>0</v>
      </c>
      <c r="I11" s="82">
        <v>619860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82">
        <v>0</v>
      </c>
      <c r="P11" s="82">
        <f t="shared" si="0"/>
        <v>6655115.3700000001</v>
      </c>
    </row>
    <row r="12" spans="1:16">
      <c r="A12" s="77"/>
      <c r="B12" s="77"/>
      <c r="C12" s="87" t="s">
        <v>240</v>
      </c>
      <c r="D12" s="82">
        <v>0</v>
      </c>
      <c r="E12" s="82">
        <v>0</v>
      </c>
      <c r="F12" s="82"/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f t="shared" si="0"/>
        <v>0</v>
      </c>
    </row>
    <row r="13" spans="1:16">
      <c r="A13" s="77"/>
      <c r="B13" s="77"/>
      <c r="C13" s="87" t="s">
        <v>239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</row>
    <row r="14" spans="1:16">
      <c r="A14" s="77" t="s">
        <v>119</v>
      </c>
      <c r="B14" s="78" t="s">
        <v>59</v>
      </c>
      <c r="C14" s="77" t="s">
        <v>202</v>
      </c>
      <c r="D14" s="82">
        <v>391900</v>
      </c>
      <c r="E14" s="82">
        <v>0</v>
      </c>
      <c r="F14" s="82">
        <v>46950</v>
      </c>
      <c r="G14" s="82">
        <v>0</v>
      </c>
      <c r="H14" s="82">
        <v>0</v>
      </c>
      <c r="I14" s="82">
        <v>86740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82">
        <v>0</v>
      </c>
      <c r="P14" s="82">
        <f t="shared" si="0"/>
        <v>525590</v>
      </c>
    </row>
    <row r="15" spans="1:16">
      <c r="A15" s="77"/>
      <c r="B15" s="78"/>
      <c r="C15" s="87" t="s">
        <v>240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82">
        <v>0</v>
      </c>
      <c r="M15" s="82">
        <v>0</v>
      </c>
      <c r="N15" s="82">
        <v>0</v>
      </c>
      <c r="O15" s="82">
        <v>0</v>
      </c>
      <c r="P15" s="82">
        <f t="shared" si="0"/>
        <v>0</v>
      </c>
    </row>
    <row r="16" spans="1:16">
      <c r="A16" s="77"/>
      <c r="B16" s="78"/>
      <c r="C16" s="87" t="s">
        <v>239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>
        <v>0</v>
      </c>
      <c r="P16" s="82"/>
    </row>
    <row r="17" spans="1:18">
      <c r="A17" s="77"/>
      <c r="B17" s="78" t="s">
        <v>60</v>
      </c>
      <c r="C17" s="77" t="s">
        <v>202</v>
      </c>
      <c r="D17" s="82">
        <v>673183.4</v>
      </c>
      <c r="E17" s="82">
        <v>22920</v>
      </c>
      <c r="F17" s="82">
        <v>771058</v>
      </c>
      <c r="G17" s="82">
        <v>213104.66</v>
      </c>
      <c r="H17" s="82">
        <v>0</v>
      </c>
      <c r="I17" s="82">
        <v>132636</v>
      </c>
      <c r="J17" s="82">
        <v>20392</v>
      </c>
      <c r="K17" s="82">
        <v>66000</v>
      </c>
      <c r="L17" s="82">
        <v>0</v>
      </c>
      <c r="M17" s="82">
        <v>98560</v>
      </c>
      <c r="N17" s="82">
        <v>450900</v>
      </c>
      <c r="O17" s="82">
        <v>0</v>
      </c>
      <c r="P17" s="82">
        <f t="shared" si="0"/>
        <v>2448754.0599999996</v>
      </c>
    </row>
    <row r="18" spans="1:18">
      <c r="A18" s="77"/>
      <c r="B18" s="78"/>
      <c r="C18" s="87" t="s">
        <v>240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/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f t="shared" si="0"/>
        <v>0</v>
      </c>
    </row>
    <row r="19" spans="1:18">
      <c r="A19" s="77"/>
      <c r="B19" s="78"/>
      <c r="C19" s="87" t="s">
        <v>239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</row>
    <row r="20" spans="1:18">
      <c r="A20" s="77"/>
      <c r="B20" s="78" t="s">
        <v>61</v>
      </c>
      <c r="C20" s="77" t="s">
        <v>202</v>
      </c>
      <c r="D20" s="82">
        <v>293407.26</v>
      </c>
      <c r="E20" s="82">
        <v>0</v>
      </c>
      <c r="F20" s="82">
        <v>628454.40000000002</v>
      </c>
      <c r="G20" s="82">
        <v>0</v>
      </c>
      <c r="H20" s="82">
        <v>0</v>
      </c>
      <c r="I20" s="82">
        <v>12302.85</v>
      </c>
      <c r="J20" s="82">
        <v>0</v>
      </c>
      <c r="K20" s="82">
        <v>0</v>
      </c>
      <c r="L20" s="82">
        <v>0</v>
      </c>
      <c r="M20" s="82">
        <v>0</v>
      </c>
      <c r="N20" s="82">
        <v>87325</v>
      </c>
      <c r="O20" s="82">
        <v>0</v>
      </c>
      <c r="P20" s="82">
        <f t="shared" si="0"/>
        <v>1021489.51</v>
      </c>
    </row>
    <row r="21" spans="1:18">
      <c r="A21" s="77"/>
      <c r="B21" s="78"/>
      <c r="C21" s="87" t="s">
        <v>240</v>
      </c>
      <c r="D21" s="82">
        <v>0</v>
      </c>
      <c r="E21" s="82">
        <v>0</v>
      </c>
      <c r="F21" s="82"/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f t="shared" si="0"/>
        <v>0</v>
      </c>
    </row>
    <row r="22" spans="1:18">
      <c r="A22" s="77"/>
      <c r="B22" s="78"/>
      <c r="C22" s="87" t="s">
        <v>239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</row>
    <row r="23" spans="1:18">
      <c r="A23" s="77"/>
      <c r="B23" s="78" t="s">
        <v>120</v>
      </c>
      <c r="C23" s="77" t="s">
        <v>202</v>
      </c>
      <c r="D23" s="82">
        <v>254825.98</v>
      </c>
      <c r="E23" s="82">
        <v>0</v>
      </c>
      <c r="F23" s="82">
        <v>10877.06</v>
      </c>
      <c r="G23" s="82">
        <v>0</v>
      </c>
      <c r="H23" s="82">
        <v>0</v>
      </c>
      <c r="I23" s="82">
        <v>0</v>
      </c>
      <c r="J23" s="82">
        <v>0</v>
      </c>
      <c r="K23" s="82">
        <v>0</v>
      </c>
      <c r="L23" s="82">
        <v>0</v>
      </c>
      <c r="M23" s="82">
        <v>0</v>
      </c>
      <c r="N23" s="82">
        <v>427893.81</v>
      </c>
      <c r="O23" s="82">
        <v>0</v>
      </c>
      <c r="P23" s="82">
        <f t="shared" si="0"/>
        <v>693596.85000000009</v>
      </c>
    </row>
    <row r="24" spans="1:18">
      <c r="A24" s="77" t="s">
        <v>122</v>
      </c>
      <c r="B24" s="78" t="s">
        <v>121</v>
      </c>
      <c r="C24" s="77" t="s">
        <v>202</v>
      </c>
      <c r="D24" s="83">
        <v>112900</v>
      </c>
      <c r="E24" s="83">
        <v>0</v>
      </c>
      <c r="F24" s="83">
        <v>24800</v>
      </c>
      <c r="G24" s="83">
        <v>0</v>
      </c>
      <c r="H24" s="83">
        <v>0</v>
      </c>
      <c r="I24" s="83">
        <v>53000</v>
      </c>
      <c r="J24" s="83">
        <v>0</v>
      </c>
      <c r="K24" s="83">
        <v>0</v>
      </c>
      <c r="L24" s="83">
        <v>0</v>
      </c>
      <c r="M24" s="83">
        <v>0</v>
      </c>
      <c r="N24" s="82">
        <v>0</v>
      </c>
      <c r="O24" s="82">
        <v>0</v>
      </c>
      <c r="P24" s="82">
        <f t="shared" si="0"/>
        <v>190700</v>
      </c>
    </row>
    <row r="25" spans="1:18">
      <c r="A25" s="77"/>
      <c r="B25" s="78" t="s">
        <v>64</v>
      </c>
      <c r="C25" s="77" t="s">
        <v>202</v>
      </c>
      <c r="D25" s="83">
        <v>673000</v>
      </c>
      <c r="E25" s="83">
        <v>0</v>
      </c>
      <c r="F25" s="83">
        <v>215000</v>
      </c>
      <c r="G25" s="83">
        <v>0</v>
      </c>
      <c r="H25" s="83">
        <v>0</v>
      </c>
      <c r="I25" s="83">
        <v>25500</v>
      </c>
      <c r="J25" s="83">
        <v>0</v>
      </c>
      <c r="K25" s="83">
        <v>0</v>
      </c>
      <c r="L25" s="83">
        <v>0</v>
      </c>
      <c r="M25" s="83">
        <v>0</v>
      </c>
      <c r="N25" s="82">
        <v>0</v>
      </c>
      <c r="O25" s="82">
        <v>0</v>
      </c>
      <c r="P25" s="82">
        <f t="shared" si="0"/>
        <v>913500</v>
      </c>
    </row>
    <row r="26" spans="1:18">
      <c r="A26" s="77"/>
      <c r="B26" s="78"/>
      <c r="C26" s="87" t="s">
        <v>240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1467060</v>
      </c>
      <c r="O26" s="83">
        <v>0</v>
      </c>
      <c r="P26" s="82">
        <f t="shared" si="0"/>
        <v>1467060</v>
      </c>
    </row>
    <row r="27" spans="1:18">
      <c r="A27" s="77"/>
      <c r="B27" s="78"/>
      <c r="C27" s="87" t="s">
        <v>239</v>
      </c>
      <c r="D27" s="83"/>
      <c r="E27" s="83"/>
      <c r="F27" s="83"/>
      <c r="G27" s="83"/>
      <c r="H27" s="83"/>
      <c r="I27" s="83"/>
      <c r="J27" s="83"/>
      <c r="K27" s="83"/>
      <c r="L27" s="83"/>
      <c r="M27" s="82"/>
      <c r="N27" s="82"/>
      <c r="O27" s="82"/>
      <c r="P27" s="82"/>
    </row>
    <row r="28" spans="1:18">
      <c r="A28" s="77" t="s">
        <v>123</v>
      </c>
      <c r="B28" s="78" t="s">
        <v>62</v>
      </c>
      <c r="C28" s="77" t="s">
        <v>202</v>
      </c>
      <c r="D28" s="83">
        <v>25000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2">
        <f t="shared" si="0"/>
        <v>25000</v>
      </c>
    </row>
    <row r="29" spans="1:18">
      <c r="A29" s="77" t="s">
        <v>124</v>
      </c>
      <c r="B29" s="78" t="s">
        <v>44</v>
      </c>
      <c r="C29" s="77" t="s">
        <v>202</v>
      </c>
      <c r="D29" s="83">
        <v>29325</v>
      </c>
      <c r="E29" s="83">
        <v>0</v>
      </c>
      <c r="F29" s="83">
        <v>1073200</v>
      </c>
      <c r="G29" s="83">
        <v>0</v>
      </c>
      <c r="H29" s="83">
        <v>0</v>
      </c>
      <c r="I29" s="83">
        <v>0</v>
      </c>
      <c r="J29" s="83">
        <v>0</v>
      </c>
      <c r="K29" s="83">
        <v>3500</v>
      </c>
      <c r="L29" s="83">
        <v>0</v>
      </c>
      <c r="M29" s="83">
        <v>0</v>
      </c>
      <c r="N29" s="83">
        <v>0</v>
      </c>
      <c r="O29" s="83">
        <v>0</v>
      </c>
      <c r="P29" s="82">
        <f t="shared" si="0"/>
        <v>1106025</v>
      </c>
    </row>
    <row r="30" spans="1:18" ht="24.75" thickBot="1">
      <c r="A30" s="231" t="s">
        <v>83</v>
      </c>
      <c r="B30" s="231"/>
      <c r="C30" s="231"/>
      <c r="D30" s="46">
        <f>SUM(D7:D29)</f>
        <v>8684481.6400000006</v>
      </c>
      <c r="E30" s="46">
        <f t="shared" ref="E30:O30" si="1">SUM(E7:E29)</f>
        <v>22920</v>
      </c>
      <c r="F30" s="46">
        <f t="shared" si="1"/>
        <v>4852974.83</v>
      </c>
      <c r="G30" s="46">
        <f t="shared" si="1"/>
        <v>333104.66000000003</v>
      </c>
      <c r="H30" s="46">
        <f t="shared" si="1"/>
        <v>0</v>
      </c>
      <c r="I30" s="46">
        <f t="shared" si="1"/>
        <v>930038.85</v>
      </c>
      <c r="J30" s="46">
        <f t="shared" si="1"/>
        <v>20392</v>
      </c>
      <c r="K30" s="46">
        <f t="shared" si="1"/>
        <v>69500</v>
      </c>
      <c r="L30" s="46">
        <f t="shared" si="1"/>
        <v>0</v>
      </c>
      <c r="M30" s="46">
        <f t="shared" si="1"/>
        <v>98560</v>
      </c>
      <c r="N30" s="46">
        <f t="shared" si="1"/>
        <v>2433178.81</v>
      </c>
      <c r="O30" s="46">
        <f t="shared" si="1"/>
        <v>6251799</v>
      </c>
      <c r="P30" s="43">
        <f>SUM(P7:P29)</f>
        <v>23696949.790000003</v>
      </c>
      <c r="R30" s="122">
        <f>SUM(D30:O30)</f>
        <v>23696949.789999999</v>
      </c>
    </row>
    <row r="31" spans="1:18" ht="24" thickTop="1"/>
    <row r="32" spans="1:18">
      <c r="A32" s="80"/>
      <c r="R32" s="129">
        <f>+งบแสดงผลจ่ายจากเงินรายรับ!C19</f>
        <v>23696949.790000003</v>
      </c>
    </row>
    <row r="33" spans="18:19">
      <c r="R33" s="122">
        <f>+R32-R30</f>
        <v>0</v>
      </c>
      <c r="S33" s="1" t="s">
        <v>243</v>
      </c>
    </row>
  </sheetData>
  <mergeCells count="8">
    <mergeCell ref="A1:P1"/>
    <mergeCell ref="A2:P2"/>
    <mergeCell ref="A3:P3"/>
    <mergeCell ref="A30:C30"/>
    <mergeCell ref="A5:A6"/>
    <mergeCell ref="B5:B6"/>
    <mergeCell ref="C5:C6"/>
    <mergeCell ref="D5:P5"/>
  </mergeCells>
  <pageMargins left="0.28000000000000003" right="0.2" top="0.74803149606299213" bottom="0.35433070866141736" header="0.31496062992125984" footer="0.31496062992125984"/>
  <pageSetup paperSize="9" scale="6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19"/>
  <sheetViews>
    <sheetView topLeftCell="C4" workbookViewId="0">
      <selection activeCell="N8" sqref="N8"/>
    </sheetView>
  </sheetViews>
  <sheetFormatPr defaultColWidth="9" defaultRowHeight="23.25"/>
  <cols>
    <col min="1" max="1" width="13.7109375" style="1" customWidth="1"/>
    <col min="2" max="2" width="20.28515625" style="1" customWidth="1"/>
    <col min="3" max="14" width="13.85546875" style="1" customWidth="1"/>
    <col min="15" max="15" width="14.42578125" style="1" customWidth="1"/>
    <col min="16" max="16384" width="9" style="1"/>
  </cols>
  <sheetData>
    <row r="1" spans="1:15">
      <c r="A1" s="230" t="str">
        <f>+งบแสดงฐานะการเงิน!A1</f>
        <v>องค์การบริหารส่วนตำบลท่าซอม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</row>
    <row r="2" spans="1:15">
      <c r="A2" s="230" t="s">
        <v>175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</row>
    <row r="3" spans="1:15">
      <c r="A3" s="230" t="str">
        <f>+'ตามแผนงาน 1'!A3:F3</f>
        <v>ตั้งแต่วันที่  1  ตุลาคม 2559   ถึงวันที่ 30  กันยายน 2560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</row>
    <row r="5" spans="1:15">
      <c r="A5" s="232" t="s">
        <v>115</v>
      </c>
      <c r="B5" s="232" t="s">
        <v>94</v>
      </c>
      <c r="C5" s="232" t="s">
        <v>92</v>
      </c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</row>
    <row r="6" spans="1:15" s="75" customFormat="1" ht="116.25">
      <c r="A6" s="232"/>
      <c r="B6" s="232"/>
      <c r="C6" s="71" t="s">
        <v>164</v>
      </c>
      <c r="D6" s="71" t="s">
        <v>165</v>
      </c>
      <c r="E6" s="72" t="s">
        <v>166</v>
      </c>
      <c r="F6" s="71" t="s">
        <v>174</v>
      </c>
      <c r="G6" s="71" t="s">
        <v>167</v>
      </c>
      <c r="H6" s="71" t="s">
        <v>168</v>
      </c>
      <c r="I6" s="71" t="s">
        <v>169</v>
      </c>
      <c r="J6" s="71" t="s">
        <v>170</v>
      </c>
      <c r="K6" s="71" t="s">
        <v>171</v>
      </c>
      <c r="L6" s="71" t="s">
        <v>172</v>
      </c>
      <c r="M6" s="71" t="s">
        <v>173</v>
      </c>
      <c r="N6" s="73" t="s">
        <v>63</v>
      </c>
      <c r="O6" s="74" t="s">
        <v>83</v>
      </c>
    </row>
    <row r="7" spans="1:15">
      <c r="A7" s="76" t="s">
        <v>63</v>
      </c>
      <c r="B7" s="76" t="s">
        <v>63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319232.5</v>
      </c>
      <c r="O7" s="81">
        <f>SUM(C7:N7)</f>
        <v>319232.5</v>
      </c>
    </row>
    <row r="8" spans="1:15">
      <c r="A8" s="77" t="s">
        <v>116</v>
      </c>
      <c r="B8" s="77" t="s">
        <v>117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2">
        <v>0</v>
      </c>
      <c r="L8" s="82">
        <v>0</v>
      </c>
      <c r="M8" s="82">
        <v>0</v>
      </c>
      <c r="N8" s="82">
        <v>0</v>
      </c>
      <c r="O8" s="82"/>
    </row>
    <row r="9" spans="1:15">
      <c r="A9" s="77"/>
      <c r="B9" s="77" t="s">
        <v>118</v>
      </c>
      <c r="C9" s="82">
        <v>0</v>
      </c>
      <c r="D9" s="82">
        <v>0</v>
      </c>
      <c r="E9" s="82">
        <v>0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f t="shared" ref="O9:O17" si="0">SUM(C9:N9)</f>
        <v>0</v>
      </c>
    </row>
    <row r="10" spans="1:15">
      <c r="A10" s="77" t="s">
        <v>119</v>
      </c>
      <c r="B10" s="78" t="s">
        <v>59</v>
      </c>
      <c r="C10" s="82">
        <v>0</v>
      </c>
      <c r="D10" s="82">
        <v>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f t="shared" si="0"/>
        <v>0</v>
      </c>
    </row>
    <row r="11" spans="1:15">
      <c r="A11" s="77"/>
      <c r="B11" s="78" t="s">
        <v>60</v>
      </c>
      <c r="C11" s="82">
        <v>0</v>
      </c>
      <c r="D11" s="82">
        <v>0</v>
      </c>
      <c r="E11" s="82">
        <v>0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82">
        <f t="shared" si="0"/>
        <v>0</v>
      </c>
    </row>
    <row r="12" spans="1:15">
      <c r="A12" s="77"/>
      <c r="B12" s="78" t="s">
        <v>61</v>
      </c>
      <c r="C12" s="82">
        <v>0</v>
      </c>
      <c r="D12" s="82">
        <v>0</v>
      </c>
      <c r="E12" s="82">
        <v>0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f t="shared" si="0"/>
        <v>0</v>
      </c>
    </row>
    <row r="13" spans="1:15">
      <c r="A13" s="77"/>
      <c r="B13" s="78" t="s">
        <v>120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f t="shared" si="0"/>
        <v>0</v>
      </c>
    </row>
    <row r="14" spans="1:15">
      <c r="A14" s="77" t="s">
        <v>122</v>
      </c>
      <c r="B14" s="78" t="s">
        <v>121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82">
        <f t="shared" si="0"/>
        <v>0</v>
      </c>
    </row>
    <row r="15" spans="1:15">
      <c r="A15" s="77"/>
      <c r="B15" s="78" t="s">
        <v>64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3">
        <f>4752800+470000</f>
        <v>5222800</v>
      </c>
      <c r="I15" s="82">
        <v>0</v>
      </c>
      <c r="J15" s="82">
        <v>0</v>
      </c>
      <c r="K15" s="82">
        <v>0</v>
      </c>
      <c r="L15" s="82">
        <v>0</v>
      </c>
      <c r="M15" s="82">
        <v>0</v>
      </c>
      <c r="N15" s="82">
        <v>0</v>
      </c>
      <c r="O15" s="82">
        <f t="shared" si="0"/>
        <v>5222800</v>
      </c>
    </row>
    <row r="16" spans="1:15">
      <c r="A16" s="77" t="s">
        <v>123</v>
      </c>
      <c r="B16" s="78" t="s">
        <v>62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3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f t="shared" si="0"/>
        <v>0</v>
      </c>
    </row>
    <row r="17" spans="1:15">
      <c r="A17" s="77" t="s">
        <v>124</v>
      </c>
      <c r="B17" s="78" t="s">
        <v>44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3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4">
        <f t="shared" si="0"/>
        <v>0</v>
      </c>
    </row>
    <row r="18" spans="1:15" ht="24.75" thickBot="1">
      <c r="A18" s="231" t="s">
        <v>83</v>
      </c>
      <c r="B18" s="231"/>
      <c r="C18" s="46">
        <f t="shared" ref="C18:O18" si="1">SUM(C7:C17)</f>
        <v>0</v>
      </c>
      <c r="D18" s="46">
        <f t="shared" si="1"/>
        <v>0</v>
      </c>
      <c r="E18" s="46">
        <f t="shared" si="1"/>
        <v>0</v>
      </c>
      <c r="F18" s="46">
        <f t="shared" si="1"/>
        <v>0</v>
      </c>
      <c r="G18" s="46">
        <f t="shared" si="1"/>
        <v>0</v>
      </c>
      <c r="H18" s="46">
        <f t="shared" si="1"/>
        <v>5222800</v>
      </c>
      <c r="I18" s="46">
        <f t="shared" si="1"/>
        <v>0</v>
      </c>
      <c r="J18" s="46">
        <f t="shared" si="1"/>
        <v>0</v>
      </c>
      <c r="K18" s="46">
        <f t="shared" si="1"/>
        <v>0</v>
      </c>
      <c r="L18" s="46">
        <f t="shared" si="1"/>
        <v>0</v>
      </c>
      <c r="M18" s="46">
        <f t="shared" si="1"/>
        <v>0</v>
      </c>
      <c r="N18" s="46">
        <f t="shared" si="1"/>
        <v>319232.5</v>
      </c>
      <c r="O18" s="43">
        <f t="shared" si="1"/>
        <v>5542032.5</v>
      </c>
    </row>
    <row r="19" spans="1:15" ht="24" thickTop="1"/>
  </sheetData>
  <mergeCells count="7">
    <mergeCell ref="A18:B18"/>
    <mergeCell ref="A1:O1"/>
    <mergeCell ref="A2:O2"/>
    <mergeCell ref="A3:O3"/>
    <mergeCell ref="A5:A6"/>
    <mergeCell ref="B5:B6"/>
    <mergeCell ref="C5:O5"/>
  </mergeCells>
  <pageMargins left="0.41" right="0.31496062992125984" top="1.03" bottom="0.35433070866141736" header="0.31496062992125984" footer="0.31496062992125984"/>
  <pageSetup paperSize="9" scale="6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R41"/>
  <sheetViews>
    <sheetView topLeftCell="F25" zoomScale="110" zoomScaleNormal="110" workbookViewId="0">
      <selection activeCell="F27" sqref="F27"/>
    </sheetView>
  </sheetViews>
  <sheetFormatPr defaultColWidth="9" defaultRowHeight="23.25"/>
  <cols>
    <col min="1" max="1" width="36" style="1" customWidth="1"/>
    <col min="2" max="2" width="16.5703125" style="1" customWidth="1"/>
    <col min="3" max="3" width="17" style="1" customWidth="1"/>
    <col min="4" max="11" width="13.85546875" style="1" customWidth="1"/>
    <col min="12" max="12" width="13" style="1" customWidth="1"/>
    <col min="13" max="15" width="13.85546875" style="1" customWidth="1"/>
    <col min="16" max="16" width="9" style="1"/>
    <col min="17" max="17" width="22.7109375" style="1" customWidth="1"/>
    <col min="18" max="16384" width="9" style="1"/>
  </cols>
  <sheetData>
    <row r="1" spans="1:15">
      <c r="A1" s="230" t="str">
        <f>+งบแสดงฐานะการเงิน!A1</f>
        <v>องค์การบริหารส่วนตำบลท่าซอม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</row>
    <row r="2" spans="1:15">
      <c r="A2" s="230" t="s">
        <v>57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</row>
    <row r="3" spans="1:15">
      <c r="A3" s="230" t="str">
        <f>+'ตามแผนงาน 1'!A3:F3</f>
        <v>ตั้งแต่วันที่  1  ตุลาคม 2559   ถึงวันที่ 30  กันยายน 2560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</row>
    <row r="5" spans="1:15">
      <c r="A5" s="232" t="s">
        <v>48</v>
      </c>
      <c r="B5" s="232" t="s">
        <v>45</v>
      </c>
      <c r="C5" s="232" t="s">
        <v>83</v>
      </c>
      <c r="D5" s="232" t="s">
        <v>92</v>
      </c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</row>
    <row r="6" spans="1:15" s="75" customFormat="1" ht="116.25">
      <c r="A6" s="232"/>
      <c r="B6" s="232"/>
      <c r="C6" s="232"/>
      <c r="D6" s="71" t="s">
        <v>164</v>
      </c>
      <c r="E6" s="71" t="s">
        <v>165</v>
      </c>
      <c r="F6" s="72" t="s">
        <v>166</v>
      </c>
      <c r="G6" s="71" t="s">
        <v>242</v>
      </c>
      <c r="H6" s="71" t="s">
        <v>167</v>
      </c>
      <c r="I6" s="71" t="s">
        <v>168</v>
      </c>
      <c r="J6" s="71" t="s">
        <v>169</v>
      </c>
      <c r="K6" s="71" t="s">
        <v>170</v>
      </c>
      <c r="L6" s="71" t="s">
        <v>171</v>
      </c>
      <c r="M6" s="71" t="s">
        <v>172</v>
      </c>
      <c r="N6" s="71" t="s">
        <v>173</v>
      </c>
      <c r="O6" s="73" t="s">
        <v>63</v>
      </c>
    </row>
    <row r="7" spans="1:15" s="75" customFormat="1">
      <c r="A7" s="88" t="s">
        <v>50</v>
      </c>
      <c r="B7" s="91"/>
      <c r="C7" s="94"/>
      <c r="D7" s="93"/>
      <c r="E7" s="93"/>
      <c r="F7" s="92"/>
      <c r="G7" s="93"/>
      <c r="H7" s="93"/>
      <c r="I7" s="93"/>
      <c r="J7" s="93"/>
      <c r="K7" s="93"/>
      <c r="L7" s="93"/>
      <c r="M7" s="93"/>
      <c r="N7" s="93"/>
      <c r="O7" s="93"/>
    </row>
    <row r="8" spans="1:15" s="75" customFormat="1">
      <c r="A8" s="87" t="s">
        <v>63</v>
      </c>
      <c r="B8" s="141">
        <v>6746613</v>
      </c>
      <c r="C8" s="127">
        <f>SUM(D8:O8)</f>
        <v>6251799</v>
      </c>
      <c r="D8" s="145">
        <v>0</v>
      </c>
      <c r="E8" s="145">
        <v>0</v>
      </c>
      <c r="F8" s="193">
        <v>0</v>
      </c>
      <c r="G8" s="145">
        <v>0</v>
      </c>
      <c r="H8" s="145">
        <v>0</v>
      </c>
      <c r="I8" s="145">
        <v>0</v>
      </c>
      <c r="J8" s="145">
        <v>0</v>
      </c>
      <c r="K8" s="145">
        <v>0</v>
      </c>
      <c r="L8" s="145">
        <v>0</v>
      </c>
      <c r="M8" s="145">
        <v>0</v>
      </c>
      <c r="N8" s="145">
        <v>0</v>
      </c>
      <c r="O8" s="145">
        <v>6251799</v>
      </c>
    </row>
    <row r="9" spans="1:15" s="75" customFormat="1">
      <c r="A9" s="77" t="s">
        <v>117</v>
      </c>
      <c r="B9" s="98">
        <v>2398320</v>
      </c>
      <c r="C9" s="127">
        <f t="shared" ref="C9:C18" si="0">SUM(D9:O9)</f>
        <v>2398320</v>
      </c>
      <c r="D9" s="82">
        <v>2398320</v>
      </c>
      <c r="E9" s="145">
        <v>0</v>
      </c>
      <c r="F9" s="82">
        <v>0</v>
      </c>
      <c r="G9" s="145">
        <v>0</v>
      </c>
      <c r="H9" s="145">
        <v>0</v>
      </c>
      <c r="I9" s="145">
        <v>0</v>
      </c>
      <c r="J9" s="145">
        <v>0</v>
      </c>
      <c r="K9" s="145">
        <v>0</v>
      </c>
      <c r="L9" s="145">
        <v>0</v>
      </c>
      <c r="M9" s="145">
        <v>0</v>
      </c>
      <c r="N9" s="145">
        <v>0</v>
      </c>
      <c r="O9" s="82">
        <v>0</v>
      </c>
    </row>
    <row r="10" spans="1:15" s="75" customFormat="1">
      <c r="A10" s="77" t="s">
        <v>118</v>
      </c>
      <c r="B10" s="98">
        <v>6913200</v>
      </c>
      <c r="C10" s="127">
        <f t="shared" si="0"/>
        <v>6655115.3700000001</v>
      </c>
      <c r="D10" s="82">
        <v>3832620</v>
      </c>
      <c r="E10" s="145">
        <v>0</v>
      </c>
      <c r="F10" s="82">
        <v>2082635.37</v>
      </c>
      <c r="G10" s="82">
        <v>120000</v>
      </c>
      <c r="H10" s="145">
        <v>0</v>
      </c>
      <c r="I10" s="82">
        <v>619860</v>
      </c>
      <c r="J10" s="145">
        <v>0</v>
      </c>
      <c r="K10" s="145">
        <v>0</v>
      </c>
      <c r="L10" s="145">
        <v>0</v>
      </c>
      <c r="M10" s="145">
        <v>0</v>
      </c>
      <c r="N10" s="145">
        <v>0</v>
      </c>
      <c r="O10" s="82">
        <v>0</v>
      </c>
    </row>
    <row r="11" spans="1:15" s="75" customFormat="1">
      <c r="A11" s="78" t="s">
        <v>59</v>
      </c>
      <c r="B11" s="83">
        <v>1249660</v>
      </c>
      <c r="C11" s="127">
        <f t="shared" si="0"/>
        <v>525590</v>
      </c>
      <c r="D11" s="82">
        <v>391900</v>
      </c>
      <c r="E11" s="145">
        <v>0</v>
      </c>
      <c r="F11" s="82">
        <v>46950</v>
      </c>
      <c r="G11" s="145">
        <v>0</v>
      </c>
      <c r="H11" s="145">
        <v>0</v>
      </c>
      <c r="I11" s="82">
        <v>86740</v>
      </c>
      <c r="J11" s="145">
        <v>0</v>
      </c>
      <c r="K11" s="145">
        <v>0</v>
      </c>
      <c r="L11" s="145">
        <v>0</v>
      </c>
      <c r="M11" s="145">
        <v>0</v>
      </c>
      <c r="N11" s="145">
        <v>0</v>
      </c>
      <c r="O11" s="82">
        <v>0</v>
      </c>
    </row>
    <row r="12" spans="1:15" s="75" customFormat="1">
      <c r="A12" s="78" t="s">
        <v>60</v>
      </c>
      <c r="B12" s="83">
        <v>3699840</v>
      </c>
      <c r="C12" s="127">
        <f t="shared" si="0"/>
        <v>2448754.0599999996</v>
      </c>
      <c r="D12" s="82">
        <v>673183.4</v>
      </c>
      <c r="E12" s="82">
        <v>22920</v>
      </c>
      <c r="F12" s="82">
        <v>771058</v>
      </c>
      <c r="G12" s="82">
        <v>213104.66</v>
      </c>
      <c r="H12" s="145">
        <v>0</v>
      </c>
      <c r="I12" s="82">
        <v>132636</v>
      </c>
      <c r="J12" s="82">
        <v>20392</v>
      </c>
      <c r="K12" s="82">
        <v>66000</v>
      </c>
      <c r="L12" s="145">
        <v>0</v>
      </c>
      <c r="M12" s="82">
        <v>98560</v>
      </c>
      <c r="N12" s="82">
        <v>450900</v>
      </c>
      <c r="O12" s="82">
        <v>0</v>
      </c>
    </row>
    <row r="13" spans="1:15" s="75" customFormat="1">
      <c r="A13" s="78" t="s">
        <v>61</v>
      </c>
      <c r="B13" s="83">
        <v>1256967</v>
      </c>
      <c r="C13" s="127">
        <f t="shared" si="0"/>
        <v>1021489.51</v>
      </c>
      <c r="D13" s="82">
        <v>293407.26</v>
      </c>
      <c r="E13" s="145">
        <v>0</v>
      </c>
      <c r="F13" s="82">
        <v>628454.40000000002</v>
      </c>
      <c r="G13" s="145">
        <v>0</v>
      </c>
      <c r="H13" s="145">
        <v>0</v>
      </c>
      <c r="I13" s="82">
        <v>12302.85</v>
      </c>
      <c r="J13" s="145">
        <v>0</v>
      </c>
      <c r="K13" s="145">
        <v>0</v>
      </c>
      <c r="L13" s="145">
        <v>0</v>
      </c>
      <c r="M13" s="145">
        <v>0</v>
      </c>
      <c r="N13" s="82">
        <v>87325</v>
      </c>
      <c r="O13" s="82">
        <v>0</v>
      </c>
    </row>
    <row r="14" spans="1:15" s="75" customFormat="1">
      <c r="A14" s="78" t="s">
        <v>120</v>
      </c>
      <c r="B14" s="83">
        <v>993300</v>
      </c>
      <c r="C14" s="127">
        <f t="shared" si="0"/>
        <v>693596.85000000009</v>
      </c>
      <c r="D14" s="82">
        <v>254825.98</v>
      </c>
      <c r="E14" s="145">
        <v>0</v>
      </c>
      <c r="F14" s="145">
        <v>10877.06</v>
      </c>
      <c r="G14" s="145">
        <v>0</v>
      </c>
      <c r="H14" s="145">
        <v>0</v>
      </c>
      <c r="I14" s="145">
        <v>0</v>
      </c>
      <c r="J14" s="145">
        <v>0</v>
      </c>
      <c r="K14" s="145">
        <v>0</v>
      </c>
      <c r="L14" s="145">
        <v>0</v>
      </c>
      <c r="M14" s="145">
        <v>0</v>
      </c>
      <c r="N14" s="82">
        <v>427893.81</v>
      </c>
      <c r="O14" s="82">
        <v>0</v>
      </c>
    </row>
    <row r="15" spans="1:15" s="75" customFormat="1">
      <c r="A15" s="78" t="s">
        <v>176</v>
      </c>
      <c r="B15" s="83">
        <v>223500</v>
      </c>
      <c r="C15" s="127">
        <f t="shared" si="0"/>
        <v>190700</v>
      </c>
      <c r="D15" s="83">
        <v>112900</v>
      </c>
      <c r="E15" s="145">
        <v>0</v>
      </c>
      <c r="F15" s="145">
        <v>24800</v>
      </c>
      <c r="G15" s="145">
        <v>0</v>
      </c>
      <c r="H15" s="145">
        <v>0</v>
      </c>
      <c r="I15" s="145">
        <v>53000</v>
      </c>
      <c r="J15" s="145">
        <v>0</v>
      </c>
      <c r="K15" s="145">
        <v>0</v>
      </c>
      <c r="L15" s="145">
        <v>0</v>
      </c>
      <c r="M15" s="145">
        <v>0</v>
      </c>
      <c r="N15" s="145">
        <v>0</v>
      </c>
      <c r="O15" s="82">
        <v>0</v>
      </c>
    </row>
    <row r="16" spans="1:15" s="75" customFormat="1">
      <c r="A16" s="78" t="s">
        <v>177</v>
      </c>
      <c r="B16" s="83">
        <v>1155400</v>
      </c>
      <c r="C16" s="127">
        <f t="shared" si="0"/>
        <v>2380560</v>
      </c>
      <c r="D16" s="83">
        <v>673000</v>
      </c>
      <c r="E16" s="145">
        <v>0</v>
      </c>
      <c r="F16" s="83">
        <v>215000</v>
      </c>
      <c r="G16" s="145">
        <v>0</v>
      </c>
      <c r="H16" s="145">
        <v>0</v>
      </c>
      <c r="I16" s="83">
        <v>25500</v>
      </c>
      <c r="J16" s="145">
        <v>0</v>
      </c>
      <c r="K16" s="145">
        <v>0</v>
      </c>
      <c r="L16" s="145">
        <v>0</v>
      </c>
      <c r="M16" s="145">
        <v>0</v>
      </c>
      <c r="N16" s="82">
        <v>1467060</v>
      </c>
      <c r="O16" s="82">
        <v>0</v>
      </c>
    </row>
    <row r="17" spans="1:18" s="75" customFormat="1">
      <c r="A17" s="78" t="s">
        <v>62</v>
      </c>
      <c r="B17" s="83">
        <v>25000</v>
      </c>
      <c r="C17" s="127">
        <f t="shared" si="0"/>
        <v>25000</v>
      </c>
      <c r="D17" s="83">
        <v>25000</v>
      </c>
      <c r="E17" s="145">
        <v>0</v>
      </c>
      <c r="F17" s="145">
        <v>0</v>
      </c>
      <c r="G17" s="145">
        <v>0</v>
      </c>
      <c r="H17" s="145">
        <v>0</v>
      </c>
      <c r="I17" s="145">
        <v>0</v>
      </c>
      <c r="J17" s="145">
        <v>0</v>
      </c>
      <c r="K17" s="145">
        <v>0</v>
      </c>
      <c r="L17" s="145">
        <v>0</v>
      </c>
      <c r="M17" s="145">
        <v>0</v>
      </c>
      <c r="N17" s="145">
        <v>0</v>
      </c>
      <c r="O17" s="82">
        <v>0</v>
      </c>
    </row>
    <row r="18" spans="1:18" s="75" customFormat="1">
      <c r="A18" s="85" t="s">
        <v>44</v>
      </c>
      <c r="B18" s="86">
        <v>1194400</v>
      </c>
      <c r="C18" s="127">
        <f t="shared" si="0"/>
        <v>1106025</v>
      </c>
      <c r="D18" s="86">
        <v>29325</v>
      </c>
      <c r="E18" s="145">
        <v>0</v>
      </c>
      <c r="F18" s="86">
        <v>1073200</v>
      </c>
      <c r="G18" s="86">
        <v>0</v>
      </c>
      <c r="H18" s="145">
        <v>0</v>
      </c>
      <c r="I18" s="145">
        <v>0</v>
      </c>
      <c r="J18" s="145">
        <v>0</v>
      </c>
      <c r="K18" s="86">
        <v>3500</v>
      </c>
      <c r="L18" s="145">
        <v>0</v>
      </c>
      <c r="M18" s="145">
        <v>0</v>
      </c>
      <c r="N18" s="145">
        <v>0</v>
      </c>
      <c r="O18" s="82">
        <v>0</v>
      </c>
    </row>
    <row r="19" spans="1:18" s="75" customFormat="1" ht="24" thickBot="1">
      <c r="A19" s="74" t="s">
        <v>178</v>
      </c>
      <c r="B19" s="101">
        <f>SUM(B8:B18)</f>
        <v>25856200</v>
      </c>
      <c r="C19" s="102">
        <f>SUM(C8:C18)</f>
        <v>23696949.790000003</v>
      </c>
      <c r="D19" s="103">
        <f>SUM(D8:D18)</f>
        <v>8684481.6400000006</v>
      </c>
      <c r="E19" s="103">
        <f t="shared" ref="E19:J19" si="1">SUM(E8:E18)</f>
        <v>22920</v>
      </c>
      <c r="F19" s="103">
        <f t="shared" si="1"/>
        <v>4852974.83</v>
      </c>
      <c r="G19" s="103">
        <f t="shared" si="1"/>
        <v>333104.66000000003</v>
      </c>
      <c r="H19" s="103">
        <f t="shared" si="1"/>
        <v>0</v>
      </c>
      <c r="I19" s="103">
        <f t="shared" si="1"/>
        <v>930038.85</v>
      </c>
      <c r="J19" s="103">
        <f t="shared" si="1"/>
        <v>20392</v>
      </c>
      <c r="K19" s="103">
        <f t="shared" ref="K19" si="2">SUM(K8:K18)</f>
        <v>69500</v>
      </c>
      <c r="L19" s="103">
        <f t="shared" ref="L19" si="3">SUM(L8:L18)</f>
        <v>0</v>
      </c>
      <c r="M19" s="103">
        <f t="shared" ref="M19" si="4">SUM(M8:M18)</f>
        <v>98560</v>
      </c>
      <c r="N19" s="103">
        <f t="shared" ref="N19" si="5">SUM(N8:N18)</f>
        <v>2433178.81</v>
      </c>
      <c r="O19" s="103">
        <f t="shared" ref="O19" si="6">SUM(O8:O18)</f>
        <v>6251799</v>
      </c>
      <c r="Q19" s="194">
        <f>SUM(D19:P19)</f>
        <v>23696949.789999999</v>
      </c>
    </row>
    <row r="20" spans="1:18" s="75" customFormat="1" ht="24" thickTop="1">
      <c r="A20" s="89" t="s">
        <v>49</v>
      </c>
      <c r="B20" s="99"/>
      <c r="C20" s="97"/>
      <c r="D20" s="100"/>
      <c r="E20" s="100"/>
      <c r="F20" s="97"/>
      <c r="G20" s="100"/>
      <c r="H20" s="100"/>
      <c r="I20" s="100"/>
      <c r="J20" s="100"/>
      <c r="K20" s="100"/>
      <c r="L20" s="100"/>
      <c r="M20" s="100"/>
      <c r="N20" s="100"/>
      <c r="O20" s="100"/>
    </row>
    <row r="21" spans="1:18">
      <c r="A21" s="77" t="s">
        <v>179</v>
      </c>
      <c r="B21" s="98">
        <v>76200</v>
      </c>
      <c r="C21" s="127">
        <v>81910.02</v>
      </c>
      <c r="D21" s="145">
        <v>0</v>
      </c>
      <c r="E21" s="145">
        <v>0</v>
      </c>
      <c r="F21" s="145">
        <v>0</v>
      </c>
      <c r="G21" s="145">
        <v>0</v>
      </c>
      <c r="H21" s="145">
        <v>0</v>
      </c>
      <c r="I21" s="145">
        <v>0</v>
      </c>
      <c r="J21" s="145">
        <v>0</v>
      </c>
      <c r="K21" s="145">
        <v>0</v>
      </c>
      <c r="L21" s="145">
        <v>0</v>
      </c>
      <c r="M21" s="145">
        <v>0</v>
      </c>
      <c r="N21" s="145">
        <v>0</v>
      </c>
      <c r="O21" s="145">
        <v>0</v>
      </c>
    </row>
    <row r="22" spans="1:18">
      <c r="A22" s="77" t="s">
        <v>180</v>
      </c>
      <c r="B22" s="98">
        <v>49200</v>
      </c>
      <c r="C22" s="82">
        <v>42870</v>
      </c>
      <c r="D22" s="145">
        <v>0</v>
      </c>
      <c r="E22" s="145">
        <v>0</v>
      </c>
      <c r="F22" s="145">
        <v>0</v>
      </c>
      <c r="G22" s="145">
        <v>0</v>
      </c>
      <c r="H22" s="145">
        <v>0</v>
      </c>
      <c r="I22" s="145">
        <v>0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5">
        <v>0</v>
      </c>
    </row>
    <row r="23" spans="1:18">
      <c r="A23" s="77" t="s">
        <v>284</v>
      </c>
      <c r="B23" s="98">
        <v>91200</v>
      </c>
      <c r="C23" s="82">
        <v>68165.820000000007</v>
      </c>
      <c r="D23" s="145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0</v>
      </c>
      <c r="J23" s="145">
        <v>0</v>
      </c>
      <c r="K23" s="145">
        <v>0</v>
      </c>
      <c r="L23" s="145">
        <v>0</v>
      </c>
      <c r="M23" s="145">
        <v>0</v>
      </c>
      <c r="N23" s="145">
        <v>0</v>
      </c>
      <c r="O23" s="145">
        <v>0</v>
      </c>
    </row>
    <row r="24" spans="1:18">
      <c r="A24" s="78" t="s">
        <v>181</v>
      </c>
      <c r="B24" s="83">
        <v>436800</v>
      </c>
      <c r="C24" s="82">
        <v>469735</v>
      </c>
      <c r="D24" s="145">
        <v>0</v>
      </c>
      <c r="E24" s="145">
        <v>0</v>
      </c>
      <c r="F24" s="145">
        <v>0</v>
      </c>
      <c r="G24" s="145">
        <v>0</v>
      </c>
      <c r="H24" s="145">
        <v>0</v>
      </c>
      <c r="I24" s="145">
        <v>0</v>
      </c>
      <c r="J24" s="145">
        <v>0</v>
      </c>
      <c r="K24" s="145">
        <v>0</v>
      </c>
      <c r="L24" s="145">
        <v>0</v>
      </c>
      <c r="M24" s="145">
        <v>0</v>
      </c>
      <c r="N24" s="145">
        <v>0</v>
      </c>
      <c r="O24" s="145">
        <v>0</v>
      </c>
    </row>
    <row r="25" spans="1:18">
      <c r="A25" s="78" t="s">
        <v>182</v>
      </c>
      <c r="B25" s="83">
        <v>65300</v>
      </c>
      <c r="C25" s="82">
        <v>69102</v>
      </c>
      <c r="D25" s="145">
        <v>0</v>
      </c>
      <c r="E25" s="145">
        <v>0</v>
      </c>
      <c r="F25" s="145">
        <v>0</v>
      </c>
      <c r="G25" s="145">
        <v>0</v>
      </c>
      <c r="H25" s="145">
        <v>0</v>
      </c>
      <c r="I25" s="145">
        <v>0</v>
      </c>
      <c r="J25" s="145">
        <v>0</v>
      </c>
      <c r="K25" s="145">
        <v>0</v>
      </c>
      <c r="L25" s="145">
        <v>0</v>
      </c>
      <c r="M25" s="145">
        <v>0</v>
      </c>
      <c r="N25" s="145">
        <v>0</v>
      </c>
      <c r="O25" s="145">
        <v>0</v>
      </c>
    </row>
    <row r="26" spans="1:18">
      <c r="A26" s="78" t="s">
        <v>183</v>
      </c>
      <c r="B26" s="83">
        <v>500</v>
      </c>
      <c r="C26" s="82">
        <v>11140</v>
      </c>
      <c r="D26" s="145">
        <v>0</v>
      </c>
      <c r="E26" s="145">
        <v>0</v>
      </c>
      <c r="F26" s="145">
        <v>0</v>
      </c>
      <c r="G26" s="145">
        <v>0</v>
      </c>
      <c r="H26" s="145">
        <v>0</v>
      </c>
      <c r="I26" s="145">
        <v>0</v>
      </c>
      <c r="J26" s="145">
        <v>0</v>
      </c>
      <c r="K26" s="145">
        <v>0</v>
      </c>
      <c r="L26" s="145">
        <v>0</v>
      </c>
      <c r="M26" s="145">
        <v>0</v>
      </c>
      <c r="N26" s="145">
        <v>0</v>
      </c>
      <c r="O26" s="145">
        <v>0</v>
      </c>
    </row>
    <row r="27" spans="1:18">
      <c r="A27" s="78" t="s">
        <v>65</v>
      </c>
      <c r="B27" s="83">
        <v>11809700</v>
      </c>
      <c r="C27" s="82">
        <v>13626484.609999999</v>
      </c>
      <c r="D27" s="145">
        <v>0</v>
      </c>
      <c r="E27" s="145">
        <v>0</v>
      </c>
      <c r="F27" s="145">
        <v>0</v>
      </c>
      <c r="G27" s="145">
        <v>0</v>
      </c>
      <c r="H27" s="145">
        <v>0</v>
      </c>
      <c r="I27" s="145">
        <v>0</v>
      </c>
      <c r="J27" s="145">
        <v>0</v>
      </c>
      <c r="K27" s="145">
        <v>0</v>
      </c>
      <c r="L27" s="145">
        <v>0</v>
      </c>
      <c r="M27" s="145">
        <v>0</v>
      </c>
      <c r="N27" s="145">
        <v>0</v>
      </c>
      <c r="O27" s="145">
        <v>0</v>
      </c>
    </row>
    <row r="28" spans="1:18">
      <c r="A28" s="78" t="s">
        <v>66</v>
      </c>
      <c r="B28" s="83">
        <v>13327300</v>
      </c>
      <c r="C28" s="82">
        <v>12851696</v>
      </c>
      <c r="D28" s="145">
        <v>0</v>
      </c>
      <c r="E28" s="145">
        <v>0</v>
      </c>
      <c r="F28" s="145">
        <v>0</v>
      </c>
      <c r="G28" s="145">
        <v>0</v>
      </c>
      <c r="H28" s="145">
        <v>0</v>
      </c>
      <c r="I28" s="145">
        <v>0</v>
      </c>
      <c r="J28" s="145">
        <v>0</v>
      </c>
      <c r="K28" s="145">
        <v>0</v>
      </c>
      <c r="L28" s="145">
        <v>0</v>
      </c>
      <c r="M28" s="145">
        <v>0</v>
      </c>
      <c r="N28" s="145">
        <v>0</v>
      </c>
      <c r="O28" s="145">
        <v>0</v>
      </c>
    </row>
    <row r="29" spans="1:18">
      <c r="A29" s="78" t="s">
        <v>184</v>
      </c>
      <c r="B29" s="83">
        <v>0</v>
      </c>
      <c r="C29" s="82">
        <v>1467060</v>
      </c>
      <c r="D29" s="145">
        <v>0</v>
      </c>
      <c r="E29" s="145">
        <v>0</v>
      </c>
      <c r="F29" s="145">
        <v>0</v>
      </c>
      <c r="G29" s="145">
        <v>0</v>
      </c>
      <c r="H29" s="145">
        <v>0</v>
      </c>
      <c r="I29" s="145">
        <v>0</v>
      </c>
      <c r="J29" s="145">
        <v>0</v>
      </c>
      <c r="K29" s="145">
        <v>0</v>
      </c>
      <c r="L29" s="145">
        <v>0</v>
      </c>
      <c r="M29" s="145">
        <v>0</v>
      </c>
      <c r="N29" s="145">
        <v>0</v>
      </c>
      <c r="O29" s="145">
        <v>0</v>
      </c>
      <c r="Q29" s="122"/>
    </row>
    <row r="30" spans="1:18" ht="24.75" thickBot="1">
      <c r="A30" s="79" t="s">
        <v>55</v>
      </c>
      <c r="B30" s="105">
        <f t="shared" ref="B30:O30" si="7">SUM(B21:B29)</f>
        <v>25856200</v>
      </c>
      <c r="C30" s="142">
        <f t="shared" si="7"/>
        <v>28688163.449999999</v>
      </c>
      <c r="D30" s="104">
        <f t="shared" si="7"/>
        <v>0</v>
      </c>
      <c r="E30" s="104">
        <f t="shared" si="7"/>
        <v>0</v>
      </c>
      <c r="F30" s="104">
        <f t="shared" si="7"/>
        <v>0</v>
      </c>
      <c r="G30" s="104">
        <f t="shared" si="7"/>
        <v>0</v>
      </c>
      <c r="H30" s="104">
        <f t="shared" si="7"/>
        <v>0</v>
      </c>
      <c r="I30" s="104">
        <f t="shared" si="7"/>
        <v>0</v>
      </c>
      <c r="J30" s="104">
        <f t="shared" si="7"/>
        <v>0</v>
      </c>
      <c r="K30" s="104">
        <f t="shared" si="7"/>
        <v>0</v>
      </c>
      <c r="L30" s="104">
        <f t="shared" si="7"/>
        <v>0</v>
      </c>
      <c r="M30" s="104">
        <f t="shared" si="7"/>
        <v>0</v>
      </c>
      <c r="N30" s="104">
        <f t="shared" si="7"/>
        <v>0</v>
      </c>
      <c r="O30" s="104">
        <f t="shared" si="7"/>
        <v>0</v>
      </c>
      <c r="Q30" s="126"/>
    </row>
    <row r="31" spans="1:18" ht="24.75" thickTop="1" thickBot="1">
      <c r="A31" s="90" t="s">
        <v>185</v>
      </c>
      <c r="C31" s="143">
        <f>+C30-C19</f>
        <v>4991213.6599999964</v>
      </c>
      <c r="Q31" s="129">
        <f>+C29-13600</f>
        <v>1453460</v>
      </c>
      <c r="R31" s="1" t="s">
        <v>230</v>
      </c>
    </row>
    <row r="32" spans="1:18" ht="26.25" thickTop="1">
      <c r="E32" s="122"/>
      <c r="Q32" s="124">
        <f>SUM(C21:C28)</f>
        <v>27221103.449999999</v>
      </c>
      <c r="R32" s="1" t="s">
        <v>229</v>
      </c>
    </row>
    <row r="33" spans="1:18" ht="25.5">
      <c r="C33" s="122"/>
      <c r="F33" s="122"/>
      <c r="Q33" s="132">
        <f>+C31</f>
        <v>4991213.6599999964</v>
      </c>
    </row>
    <row r="34" spans="1:18">
      <c r="Q34" s="133">
        <v>3235834.87</v>
      </c>
      <c r="R34" s="1" t="s">
        <v>231</v>
      </c>
    </row>
    <row r="35" spans="1:18">
      <c r="A35" s="80" t="s">
        <v>187</v>
      </c>
      <c r="Q35" s="122">
        <f>+Q33-Q34</f>
        <v>1755378.7899999963</v>
      </c>
      <c r="R35" s="1" t="s">
        <v>232</v>
      </c>
    </row>
    <row r="37" spans="1:18" ht="24" thickBot="1">
      <c r="A37" s="1" t="s">
        <v>188</v>
      </c>
      <c r="B37" s="1" t="s">
        <v>47</v>
      </c>
      <c r="C37" s="130">
        <f>+C15</f>
        <v>190700</v>
      </c>
      <c r="D37" s="1" t="s">
        <v>189</v>
      </c>
      <c r="E37" s="1" t="s">
        <v>190</v>
      </c>
      <c r="H37" s="1" t="s">
        <v>193</v>
      </c>
      <c r="K37" s="125">
        <f>+C16</f>
        <v>2380560</v>
      </c>
      <c r="L37" s="1" t="s">
        <v>189</v>
      </c>
      <c r="M37" s="1" t="s">
        <v>190</v>
      </c>
      <c r="Q37" s="122"/>
    </row>
    <row r="38" spans="1:18" ht="24" thickTop="1"/>
    <row r="39" spans="1:18" ht="24" thickBot="1">
      <c r="B39" s="110" t="s">
        <v>191</v>
      </c>
      <c r="E39" s="130">
        <f>+C37</f>
        <v>190700</v>
      </c>
      <c r="F39" s="1" t="s">
        <v>189</v>
      </c>
      <c r="J39" s="144" t="s">
        <v>191</v>
      </c>
      <c r="M39" s="130">
        <f>+K37-M40</f>
        <v>913500</v>
      </c>
      <c r="N39" s="1" t="s">
        <v>189</v>
      </c>
      <c r="Q39" s="122"/>
    </row>
    <row r="40" spans="1:18" ht="24.75" thickTop="1" thickBot="1">
      <c r="B40" s="1" t="s">
        <v>192</v>
      </c>
      <c r="E40" s="123">
        <v>0</v>
      </c>
      <c r="F40" s="1" t="s">
        <v>189</v>
      </c>
      <c r="J40" s="1" t="s">
        <v>192</v>
      </c>
      <c r="M40" s="131">
        <v>1467060</v>
      </c>
    </row>
    <row r="41" spans="1:18" ht="24" thickTop="1"/>
  </sheetData>
  <mergeCells count="7">
    <mergeCell ref="B5:B6"/>
    <mergeCell ref="C5:C6"/>
    <mergeCell ref="A1:O1"/>
    <mergeCell ref="A2:O2"/>
    <mergeCell ref="A3:O3"/>
    <mergeCell ref="A5:A6"/>
    <mergeCell ref="D5:O5"/>
  </mergeCells>
  <pageMargins left="0.31496062992125984" right="0.31496062992125984" top="0.74803149606299213" bottom="0.35433070866141736" header="0.31496062992125984" footer="0.31496062992125984"/>
  <pageSetup paperSize="9" scale="6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R42"/>
  <sheetViews>
    <sheetView tabSelected="1" topLeftCell="A19" zoomScale="110" zoomScaleNormal="110" workbookViewId="0">
      <selection activeCell="L24" sqref="L24"/>
    </sheetView>
  </sheetViews>
  <sheetFormatPr defaultColWidth="9" defaultRowHeight="23.25"/>
  <cols>
    <col min="1" max="1" width="36.140625" style="1" customWidth="1"/>
    <col min="2" max="3" width="16.5703125" style="1" customWidth="1"/>
    <col min="4" max="4" width="14" style="1" customWidth="1"/>
    <col min="5" max="9" width="13.5703125" style="1" customWidth="1"/>
    <col min="10" max="10" width="14.28515625" style="1" customWidth="1"/>
    <col min="11" max="15" width="13.5703125" style="1" customWidth="1"/>
    <col min="16" max="16" width="9" style="1"/>
    <col min="17" max="17" width="20" style="1" customWidth="1"/>
    <col min="18" max="16384" width="9" style="1"/>
  </cols>
  <sheetData>
    <row r="1" spans="1:15">
      <c r="A1" s="230" t="str">
        <f>+งบแสดงฐานะการเงิน!A1</f>
        <v>องค์การบริหารส่วนตำบลท่าซอม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</row>
    <row r="2" spans="1:15">
      <c r="A2" s="230" t="s">
        <v>186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</row>
    <row r="3" spans="1:15">
      <c r="A3" s="230" t="str">
        <f>+'ตามแผนงาน 1'!A3:F3</f>
        <v>ตั้งแต่วันที่  1  ตุลาคม 2559   ถึงวันที่ 30  กันยายน 2560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</row>
    <row r="5" spans="1:15">
      <c r="A5" s="232" t="s">
        <v>48</v>
      </c>
      <c r="B5" s="232" t="s">
        <v>45</v>
      </c>
      <c r="C5" s="232" t="s">
        <v>83</v>
      </c>
      <c r="D5" s="232" t="s">
        <v>92</v>
      </c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</row>
    <row r="6" spans="1:15" s="187" customFormat="1" ht="116.25">
      <c r="A6" s="232"/>
      <c r="B6" s="232"/>
      <c r="C6" s="232"/>
      <c r="D6" s="71" t="s">
        <v>164</v>
      </c>
      <c r="E6" s="71" t="s">
        <v>165</v>
      </c>
      <c r="F6" s="72" t="s">
        <v>166</v>
      </c>
      <c r="G6" s="71" t="s">
        <v>242</v>
      </c>
      <c r="H6" s="71" t="s">
        <v>167</v>
      </c>
      <c r="I6" s="71" t="s">
        <v>168</v>
      </c>
      <c r="J6" s="71" t="s">
        <v>169</v>
      </c>
      <c r="K6" s="71" t="s">
        <v>170</v>
      </c>
      <c r="L6" s="71" t="s">
        <v>171</v>
      </c>
      <c r="M6" s="71" t="s">
        <v>172</v>
      </c>
      <c r="N6" s="71" t="s">
        <v>173</v>
      </c>
      <c r="O6" s="73" t="s">
        <v>63</v>
      </c>
    </row>
    <row r="7" spans="1:15" s="187" customFormat="1">
      <c r="A7" s="88" t="s">
        <v>50</v>
      </c>
      <c r="B7" s="91"/>
      <c r="C7" s="94"/>
      <c r="D7" s="93"/>
      <c r="E7" s="93"/>
      <c r="F7" s="92"/>
      <c r="G7" s="93"/>
      <c r="H7" s="93"/>
      <c r="I7" s="93"/>
      <c r="J7" s="93"/>
      <c r="K7" s="93"/>
      <c r="L7" s="93"/>
      <c r="M7" s="93"/>
      <c r="N7" s="93"/>
      <c r="O7" s="93"/>
    </row>
    <row r="8" spans="1:15" s="187" customFormat="1">
      <c r="A8" s="87" t="s">
        <v>63</v>
      </c>
      <c r="B8" s="141">
        <v>6746613</v>
      </c>
      <c r="C8" s="127">
        <f>SUM(D8:O8)</f>
        <v>6571031.5</v>
      </c>
      <c r="D8" s="145">
        <v>0</v>
      </c>
      <c r="E8" s="145">
        <v>0</v>
      </c>
      <c r="F8" s="193">
        <v>0</v>
      </c>
      <c r="G8" s="145">
        <v>0</v>
      </c>
      <c r="H8" s="145">
        <v>0</v>
      </c>
      <c r="I8" s="145">
        <v>0</v>
      </c>
      <c r="J8" s="145">
        <v>0</v>
      </c>
      <c r="K8" s="145">
        <v>0</v>
      </c>
      <c r="L8" s="145">
        <v>0</v>
      </c>
      <c r="M8" s="145">
        <v>0</v>
      </c>
      <c r="N8" s="145">
        <v>0</v>
      </c>
      <c r="O8" s="145">
        <f>6252799-1000+319232.5</f>
        <v>6571031.5</v>
      </c>
    </row>
    <row r="9" spans="1:15" s="187" customFormat="1">
      <c r="A9" s="77" t="s">
        <v>117</v>
      </c>
      <c r="B9" s="98">
        <v>2398320</v>
      </c>
      <c r="C9" s="127">
        <f t="shared" ref="C9:C18" si="0">SUM(D9:O9)</f>
        <v>2398320</v>
      </c>
      <c r="D9" s="82">
        <v>2398320</v>
      </c>
      <c r="E9" s="145">
        <v>0</v>
      </c>
      <c r="F9" s="82">
        <v>0</v>
      </c>
      <c r="G9" s="145">
        <v>0</v>
      </c>
      <c r="H9" s="145">
        <v>0</v>
      </c>
      <c r="I9" s="145">
        <v>0</v>
      </c>
      <c r="J9" s="145">
        <v>0</v>
      </c>
      <c r="K9" s="145">
        <v>0</v>
      </c>
      <c r="L9" s="145">
        <v>0</v>
      </c>
      <c r="M9" s="145">
        <v>0</v>
      </c>
      <c r="N9" s="145">
        <v>0</v>
      </c>
      <c r="O9" s="82">
        <v>0</v>
      </c>
    </row>
    <row r="10" spans="1:15" s="187" customFormat="1">
      <c r="A10" s="77" t="s">
        <v>118</v>
      </c>
      <c r="B10" s="98">
        <v>6913200</v>
      </c>
      <c r="C10" s="127">
        <f t="shared" si="0"/>
        <v>6655115.3700000001</v>
      </c>
      <c r="D10" s="82">
        <v>3832620</v>
      </c>
      <c r="E10" s="145">
        <v>0</v>
      </c>
      <c r="F10" s="82">
        <v>2082635.37</v>
      </c>
      <c r="G10" s="82">
        <v>120000</v>
      </c>
      <c r="H10" s="145">
        <v>0</v>
      </c>
      <c r="I10" s="82">
        <v>619860</v>
      </c>
      <c r="J10" s="145">
        <v>0</v>
      </c>
      <c r="K10" s="145">
        <v>0</v>
      </c>
      <c r="L10" s="145">
        <v>0</v>
      </c>
      <c r="M10" s="145">
        <v>0</v>
      </c>
      <c r="N10" s="145">
        <v>0</v>
      </c>
      <c r="O10" s="82">
        <v>0</v>
      </c>
    </row>
    <row r="11" spans="1:15" s="187" customFormat="1">
      <c r="A11" s="78" t="s">
        <v>59</v>
      </c>
      <c r="B11" s="83">
        <v>1249660</v>
      </c>
      <c r="C11" s="127">
        <f t="shared" si="0"/>
        <v>525590</v>
      </c>
      <c r="D11" s="82">
        <v>391900</v>
      </c>
      <c r="E11" s="145">
        <v>0</v>
      </c>
      <c r="F11" s="82">
        <v>46950</v>
      </c>
      <c r="G11" s="145">
        <v>0</v>
      </c>
      <c r="H11" s="145">
        <v>0</v>
      </c>
      <c r="I11" s="82">
        <v>86740</v>
      </c>
      <c r="J11" s="145">
        <v>0</v>
      </c>
      <c r="K11" s="145">
        <v>0</v>
      </c>
      <c r="L11" s="145">
        <v>0</v>
      </c>
      <c r="M11" s="145">
        <v>0</v>
      </c>
      <c r="N11" s="145">
        <v>0</v>
      </c>
      <c r="O11" s="82">
        <v>0</v>
      </c>
    </row>
    <row r="12" spans="1:15" s="187" customFormat="1">
      <c r="A12" s="78" t="s">
        <v>60</v>
      </c>
      <c r="B12" s="83">
        <v>3699840</v>
      </c>
      <c r="C12" s="127">
        <f t="shared" si="0"/>
        <v>2448754.0599999996</v>
      </c>
      <c r="D12" s="82">
        <v>673183.4</v>
      </c>
      <c r="E12" s="82">
        <v>22920</v>
      </c>
      <c r="F12" s="82">
        <v>771058</v>
      </c>
      <c r="G12" s="82">
        <v>213104.66</v>
      </c>
      <c r="H12" s="145">
        <v>0</v>
      </c>
      <c r="I12" s="82">
        <v>132636</v>
      </c>
      <c r="J12" s="82">
        <v>20392</v>
      </c>
      <c r="K12" s="82">
        <v>66000</v>
      </c>
      <c r="L12" s="145">
        <v>0</v>
      </c>
      <c r="M12" s="82">
        <v>98560</v>
      </c>
      <c r="N12" s="82">
        <v>450900</v>
      </c>
      <c r="O12" s="82">
        <v>0</v>
      </c>
    </row>
    <row r="13" spans="1:15" s="187" customFormat="1">
      <c r="A13" s="78" t="s">
        <v>61</v>
      </c>
      <c r="B13" s="83">
        <v>1256967</v>
      </c>
      <c r="C13" s="127">
        <f t="shared" si="0"/>
        <v>1021489.51</v>
      </c>
      <c r="D13" s="82">
        <v>293407.26</v>
      </c>
      <c r="E13" s="145">
        <v>0</v>
      </c>
      <c r="F13" s="82">
        <v>628454.40000000002</v>
      </c>
      <c r="G13" s="145">
        <v>0</v>
      </c>
      <c r="H13" s="145">
        <v>0</v>
      </c>
      <c r="I13" s="82">
        <v>12302.85</v>
      </c>
      <c r="J13" s="145">
        <v>0</v>
      </c>
      <c r="K13" s="145">
        <v>0</v>
      </c>
      <c r="L13" s="145">
        <v>0</v>
      </c>
      <c r="M13" s="145">
        <v>0</v>
      </c>
      <c r="N13" s="82">
        <v>87325</v>
      </c>
      <c r="O13" s="82">
        <v>0</v>
      </c>
    </row>
    <row r="14" spans="1:15" s="187" customFormat="1">
      <c r="A14" s="78" t="s">
        <v>120</v>
      </c>
      <c r="B14" s="83">
        <v>993300</v>
      </c>
      <c r="C14" s="127">
        <f t="shared" si="0"/>
        <v>693596.85000000009</v>
      </c>
      <c r="D14" s="82">
        <v>254825.98</v>
      </c>
      <c r="E14" s="145">
        <v>0</v>
      </c>
      <c r="F14" s="145">
        <v>10877.06</v>
      </c>
      <c r="G14" s="145">
        <v>0</v>
      </c>
      <c r="H14" s="145">
        <v>0</v>
      </c>
      <c r="I14" s="145">
        <v>0</v>
      </c>
      <c r="J14" s="145">
        <v>0</v>
      </c>
      <c r="K14" s="145">
        <v>0</v>
      </c>
      <c r="L14" s="145">
        <v>0</v>
      </c>
      <c r="M14" s="145">
        <v>0</v>
      </c>
      <c r="N14" s="82">
        <v>427893.81</v>
      </c>
      <c r="O14" s="82">
        <v>0</v>
      </c>
    </row>
    <row r="15" spans="1:15" s="187" customFormat="1">
      <c r="A15" s="78" t="s">
        <v>176</v>
      </c>
      <c r="B15" s="83">
        <v>223500</v>
      </c>
      <c r="C15" s="127">
        <f t="shared" si="0"/>
        <v>190700</v>
      </c>
      <c r="D15" s="83">
        <v>112900</v>
      </c>
      <c r="E15" s="145">
        <v>0</v>
      </c>
      <c r="F15" s="145">
        <v>24800</v>
      </c>
      <c r="G15" s="145">
        <v>0</v>
      </c>
      <c r="H15" s="145">
        <v>0</v>
      </c>
      <c r="I15" s="145">
        <v>53000</v>
      </c>
      <c r="J15" s="145">
        <v>0</v>
      </c>
      <c r="K15" s="145">
        <v>0</v>
      </c>
      <c r="L15" s="145">
        <v>0</v>
      </c>
      <c r="M15" s="145">
        <v>0</v>
      </c>
      <c r="N15" s="145">
        <v>0</v>
      </c>
      <c r="O15" s="82">
        <v>0</v>
      </c>
    </row>
    <row r="16" spans="1:15" s="187" customFormat="1">
      <c r="A16" s="78" t="s">
        <v>177</v>
      </c>
      <c r="B16" s="83">
        <v>1155400</v>
      </c>
      <c r="C16" s="127">
        <f t="shared" si="0"/>
        <v>7603360</v>
      </c>
      <c r="D16" s="83">
        <v>673000</v>
      </c>
      <c r="E16" s="145">
        <v>0</v>
      </c>
      <c r="F16" s="83">
        <v>215000</v>
      </c>
      <c r="G16" s="145">
        <v>0</v>
      </c>
      <c r="H16" s="145">
        <v>0</v>
      </c>
      <c r="I16" s="83">
        <f>25500+5222800</f>
        <v>5248300</v>
      </c>
      <c r="J16" s="145">
        <v>0</v>
      </c>
      <c r="K16" s="145">
        <v>0</v>
      </c>
      <c r="L16" s="145">
        <v>0</v>
      </c>
      <c r="M16" s="145">
        <v>0</v>
      </c>
      <c r="N16" s="82">
        <v>1467060</v>
      </c>
      <c r="O16" s="82">
        <v>0</v>
      </c>
    </row>
    <row r="17" spans="1:18" s="187" customFormat="1">
      <c r="A17" s="78" t="s">
        <v>62</v>
      </c>
      <c r="B17" s="83">
        <v>25000</v>
      </c>
      <c r="C17" s="127">
        <f t="shared" si="0"/>
        <v>25000</v>
      </c>
      <c r="D17" s="83">
        <v>25000</v>
      </c>
      <c r="E17" s="145">
        <v>0</v>
      </c>
      <c r="F17" s="145">
        <v>0</v>
      </c>
      <c r="G17" s="145">
        <v>0</v>
      </c>
      <c r="H17" s="145">
        <v>0</v>
      </c>
      <c r="I17" s="145">
        <v>0</v>
      </c>
      <c r="J17" s="145">
        <v>0</v>
      </c>
      <c r="K17" s="145">
        <v>0</v>
      </c>
      <c r="L17" s="145">
        <v>0</v>
      </c>
      <c r="M17" s="145">
        <v>0</v>
      </c>
      <c r="N17" s="145">
        <v>0</v>
      </c>
      <c r="O17" s="82">
        <v>0</v>
      </c>
    </row>
    <row r="18" spans="1:18" s="187" customFormat="1">
      <c r="A18" s="85" t="s">
        <v>44</v>
      </c>
      <c r="B18" s="86">
        <v>1194400</v>
      </c>
      <c r="C18" s="127">
        <f t="shared" si="0"/>
        <v>1106025</v>
      </c>
      <c r="D18" s="86">
        <v>29325</v>
      </c>
      <c r="E18" s="145">
        <v>0</v>
      </c>
      <c r="F18" s="86">
        <v>1073200</v>
      </c>
      <c r="G18" s="86">
        <v>0</v>
      </c>
      <c r="H18" s="145">
        <v>0</v>
      </c>
      <c r="I18" s="145">
        <v>0</v>
      </c>
      <c r="J18" s="145">
        <v>0</v>
      </c>
      <c r="K18" s="86">
        <v>3500</v>
      </c>
      <c r="L18" s="145">
        <v>0</v>
      </c>
      <c r="M18" s="145">
        <v>0</v>
      </c>
      <c r="N18" s="145">
        <v>0</v>
      </c>
      <c r="O18" s="82">
        <v>0</v>
      </c>
    </row>
    <row r="19" spans="1:18" s="187" customFormat="1" ht="24" thickBot="1">
      <c r="A19" s="74" t="s">
        <v>178</v>
      </c>
      <c r="B19" s="101">
        <f>SUM(B8:B18)</f>
        <v>25856200</v>
      </c>
      <c r="C19" s="102">
        <f>SUM(C8:C18)</f>
        <v>29238982.290000003</v>
      </c>
      <c r="D19" s="103">
        <f>SUM(D8:D18)</f>
        <v>8684481.6400000006</v>
      </c>
      <c r="E19" s="103">
        <f t="shared" ref="E19:O19" si="1">SUM(E8:E18)</f>
        <v>22920</v>
      </c>
      <c r="F19" s="103">
        <f t="shared" si="1"/>
        <v>4852974.83</v>
      </c>
      <c r="G19" s="103">
        <f t="shared" si="1"/>
        <v>333104.66000000003</v>
      </c>
      <c r="H19" s="103">
        <f t="shared" si="1"/>
        <v>0</v>
      </c>
      <c r="I19" s="103">
        <f t="shared" si="1"/>
        <v>6152838.8499999996</v>
      </c>
      <c r="J19" s="103">
        <f t="shared" si="1"/>
        <v>20392</v>
      </c>
      <c r="K19" s="103">
        <f t="shared" si="1"/>
        <v>69500</v>
      </c>
      <c r="L19" s="103">
        <f t="shared" si="1"/>
        <v>0</v>
      </c>
      <c r="M19" s="103">
        <f t="shared" si="1"/>
        <v>98560</v>
      </c>
      <c r="N19" s="103">
        <f t="shared" si="1"/>
        <v>2433178.81</v>
      </c>
      <c r="O19" s="103">
        <f t="shared" si="1"/>
        <v>6571031.5</v>
      </c>
      <c r="Q19" s="194">
        <f>SUM(D19:P19)</f>
        <v>29238982.289999999</v>
      </c>
    </row>
    <row r="20" spans="1:18" s="187" customFormat="1" ht="24" thickTop="1">
      <c r="A20" s="89" t="s">
        <v>49</v>
      </c>
      <c r="B20" s="99"/>
      <c r="C20" s="97"/>
      <c r="D20" s="100"/>
      <c r="E20" s="100"/>
      <c r="F20" s="97"/>
      <c r="G20" s="100"/>
      <c r="H20" s="100"/>
      <c r="I20" s="100"/>
      <c r="J20" s="100"/>
      <c r="K20" s="100"/>
      <c r="L20" s="100"/>
      <c r="M20" s="100"/>
      <c r="N20" s="100"/>
      <c r="O20" s="100"/>
    </row>
    <row r="21" spans="1:18">
      <c r="A21" s="77" t="s">
        <v>179</v>
      </c>
      <c r="B21" s="98">
        <v>76200</v>
      </c>
      <c r="C21" s="127">
        <v>81910.02</v>
      </c>
      <c r="D21" s="145">
        <v>0</v>
      </c>
      <c r="E21" s="145">
        <v>0</v>
      </c>
      <c r="F21" s="145">
        <v>0</v>
      </c>
      <c r="G21" s="145">
        <v>0</v>
      </c>
      <c r="H21" s="145">
        <v>0</v>
      </c>
      <c r="I21" s="145">
        <v>0</v>
      </c>
      <c r="J21" s="145">
        <v>0</v>
      </c>
      <c r="K21" s="145">
        <v>0</v>
      </c>
      <c r="L21" s="145">
        <v>0</v>
      </c>
      <c r="M21" s="145">
        <v>0</v>
      </c>
      <c r="N21" s="145">
        <v>0</v>
      </c>
      <c r="O21" s="145">
        <v>0</v>
      </c>
    </row>
    <row r="22" spans="1:18">
      <c r="A22" s="77" t="s">
        <v>180</v>
      </c>
      <c r="B22" s="98">
        <v>49200</v>
      </c>
      <c r="C22" s="82">
        <v>42870</v>
      </c>
      <c r="D22" s="145">
        <v>0</v>
      </c>
      <c r="E22" s="145">
        <v>0</v>
      </c>
      <c r="F22" s="145">
        <v>0</v>
      </c>
      <c r="G22" s="145">
        <v>0</v>
      </c>
      <c r="H22" s="145">
        <v>0</v>
      </c>
      <c r="I22" s="145">
        <v>0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5">
        <v>0</v>
      </c>
    </row>
    <row r="23" spans="1:18">
      <c r="A23" s="77" t="s">
        <v>284</v>
      </c>
      <c r="B23" s="98">
        <v>91200</v>
      </c>
      <c r="C23" s="82">
        <v>68165.820000000007</v>
      </c>
      <c r="D23" s="145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0</v>
      </c>
      <c r="J23" s="145">
        <v>0</v>
      </c>
      <c r="K23" s="145">
        <v>0</v>
      </c>
      <c r="L23" s="145">
        <v>0</v>
      </c>
      <c r="M23" s="145">
        <v>0</v>
      </c>
      <c r="N23" s="145">
        <v>0</v>
      </c>
      <c r="O23" s="145">
        <v>0</v>
      </c>
    </row>
    <row r="24" spans="1:18">
      <c r="A24" s="78" t="s">
        <v>181</v>
      </c>
      <c r="B24" s="83">
        <v>436800</v>
      </c>
      <c r="C24" s="82">
        <v>469735</v>
      </c>
      <c r="D24" s="145">
        <v>0</v>
      </c>
      <c r="E24" s="145">
        <v>0</v>
      </c>
      <c r="F24" s="145">
        <v>0</v>
      </c>
      <c r="G24" s="145">
        <v>0</v>
      </c>
      <c r="H24" s="145">
        <v>0</v>
      </c>
      <c r="I24" s="145">
        <v>0</v>
      </c>
      <c r="J24" s="145">
        <v>0</v>
      </c>
      <c r="K24" s="145">
        <v>0</v>
      </c>
      <c r="L24" s="145">
        <v>0</v>
      </c>
      <c r="M24" s="145">
        <v>0</v>
      </c>
      <c r="N24" s="145">
        <v>0</v>
      </c>
      <c r="O24" s="145">
        <v>0</v>
      </c>
    </row>
    <row r="25" spans="1:18">
      <c r="A25" s="78" t="s">
        <v>182</v>
      </c>
      <c r="B25" s="83">
        <v>65300</v>
      </c>
      <c r="C25" s="82">
        <v>69102</v>
      </c>
      <c r="D25" s="145">
        <v>0</v>
      </c>
      <c r="E25" s="145">
        <v>0</v>
      </c>
      <c r="F25" s="145">
        <v>0</v>
      </c>
      <c r="G25" s="145">
        <v>0</v>
      </c>
      <c r="H25" s="145">
        <v>0</v>
      </c>
      <c r="I25" s="145">
        <v>0</v>
      </c>
      <c r="J25" s="145">
        <v>0</v>
      </c>
      <c r="K25" s="145">
        <v>0</v>
      </c>
      <c r="L25" s="145">
        <v>0</v>
      </c>
      <c r="M25" s="145">
        <v>0</v>
      </c>
      <c r="N25" s="145">
        <v>0</v>
      </c>
      <c r="O25" s="145">
        <v>0</v>
      </c>
    </row>
    <row r="26" spans="1:18">
      <c r="A26" s="78" t="s">
        <v>183</v>
      </c>
      <c r="B26" s="83">
        <v>500</v>
      </c>
      <c r="C26" s="82">
        <v>11140</v>
      </c>
      <c r="D26" s="145">
        <v>0</v>
      </c>
      <c r="E26" s="145">
        <v>0</v>
      </c>
      <c r="F26" s="145">
        <v>0</v>
      </c>
      <c r="G26" s="145">
        <v>0</v>
      </c>
      <c r="H26" s="145">
        <v>0</v>
      </c>
      <c r="I26" s="145">
        <v>0</v>
      </c>
      <c r="J26" s="145">
        <v>0</v>
      </c>
      <c r="K26" s="145">
        <v>0</v>
      </c>
      <c r="L26" s="145">
        <v>0</v>
      </c>
      <c r="M26" s="145">
        <v>0</v>
      </c>
      <c r="N26" s="145">
        <v>0</v>
      </c>
      <c r="O26" s="145">
        <v>0</v>
      </c>
    </row>
    <row r="27" spans="1:18">
      <c r="A27" s="78" t="s">
        <v>65</v>
      </c>
      <c r="B27" s="83">
        <v>11809700</v>
      </c>
      <c r="C27" s="82">
        <v>13626484.609999999</v>
      </c>
      <c r="D27" s="145">
        <v>0</v>
      </c>
      <c r="E27" s="145">
        <v>0</v>
      </c>
      <c r="F27" s="145">
        <v>0</v>
      </c>
      <c r="G27" s="145">
        <v>0</v>
      </c>
      <c r="H27" s="145">
        <v>0</v>
      </c>
      <c r="I27" s="145">
        <v>0</v>
      </c>
      <c r="J27" s="145">
        <v>0</v>
      </c>
      <c r="K27" s="145">
        <v>0</v>
      </c>
      <c r="L27" s="145">
        <v>0</v>
      </c>
      <c r="M27" s="145">
        <v>0</v>
      </c>
      <c r="N27" s="145">
        <v>0</v>
      </c>
      <c r="O27" s="145">
        <v>0</v>
      </c>
    </row>
    <row r="28" spans="1:18">
      <c r="A28" s="78" t="s">
        <v>66</v>
      </c>
      <c r="B28" s="83">
        <v>13327300</v>
      </c>
      <c r="C28" s="82">
        <v>12851696</v>
      </c>
      <c r="D28" s="145">
        <v>0</v>
      </c>
      <c r="E28" s="145">
        <v>0</v>
      </c>
      <c r="F28" s="145">
        <v>0</v>
      </c>
      <c r="G28" s="145">
        <v>0</v>
      </c>
      <c r="H28" s="145">
        <v>0</v>
      </c>
      <c r="I28" s="145">
        <v>0</v>
      </c>
      <c r="J28" s="145">
        <v>0</v>
      </c>
      <c r="K28" s="145">
        <v>0</v>
      </c>
      <c r="L28" s="145">
        <v>0</v>
      </c>
      <c r="M28" s="145">
        <v>0</v>
      </c>
      <c r="N28" s="145">
        <v>0</v>
      </c>
      <c r="O28" s="145">
        <v>0</v>
      </c>
    </row>
    <row r="29" spans="1:18">
      <c r="A29" s="78" t="s">
        <v>184</v>
      </c>
      <c r="B29" s="83">
        <v>0</v>
      </c>
      <c r="C29" s="82">
        <v>1467060</v>
      </c>
      <c r="D29" s="145">
        <v>0</v>
      </c>
      <c r="E29" s="145">
        <v>0</v>
      </c>
      <c r="F29" s="145">
        <v>0</v>
      </c>
      <c r="G29" s="145">
        <v>0</v>
      </c>
      <c r="H29" s="145">
        <v>0</v>
      </c>
      <c r="I29" s="145">
        <v>0</v>
      </c>
      <c r="J29" s="145">
        <v>0</v>
      </c>
      <c r="K29" s="145">
        <v>0</v>
      </c>
      <c r="L29" s="145">
        <v>0</v>
      </c>
      <c r="M29" s="145">
        <v>0</v>
      </c>
      <c r="N29" s="145">
        <v>0</v>
      </c>
      <c r="O29" s="145">
        <v>0</v>
      </c>
      <c r="Q29" s="122"/>
    </row>
    <row r="30" spans="1:18" ht="24.75" thickBot="1">
      <c r="A30" s="188" t="s">
        <v>55</v>
      </c>
      <c r="B30" s="105">
        <f t="shared" ref="B30:O30" si="2">SUM(B21:B29)</f>
        <v>25856200</v>
      </c>
      <c r="C30" s="142">
        <f t="shared" si="2"/>
        <v>28688163.449999999</v>
      </c>
      <c r="D30" s="104">
        <f t="shared" si="2"/>
        <v>0</v>
      </c>
      <c r="E30" s="104">
        <f t="shared" si="2"/>
        <v>0</v>
      </c>
      <c r="F30" s="104">
        <f t="shared" si="2"/>
        <v>0</v>
      </c>
      <c r="G30" s="104">
        <f t="shared" si="2"/>
        <v>0</v>
      </c>
      <c r="H30" s="104">
        <f t="shared" si="2"/>
        <v>0</v>
      </c>
      <c r="I30" s="104">
        <f t="shared" si="2"/>
        <v>0</v>
      </c>
      <c r="J30" s="104">
        <f t="shared" si="2"/>
        <v>0</v>
      </c>
      <c r="K30" s="104">
        <f t="shared" si="2"/>
        <v>0</v>
      </c>
      <c r="L30" s="104">
        <f t="shared" si="2"/>
        <v>0</v>
      </c>
      <c r="M30" s="104">
        <f t="shared" si="2"/>
        <v>0</v>
      </c>
      <c r="N30" s="104">
        <f t="shared" si="2"/>
        <v>0</v>
      </c>
      <c r="O30" s="104">
        <f t="shared" si="2"/>
        <v>0</v>
      </c>
      <c r="Q30" s="126"/>
    </row>
    <row r="31" spans="1:18" ht="24.75" thickTop="1" thickBot="1">
      <c r="A31" s="90" t="s">
        <v>185</v>
      </c>
      <c r="C31" s="195">
        <f>+C30-C19</f>
        <v>-550818.84000000358</v>
      </c>
      <c r="Q31" s="129">
        <f>+C29</f>
        <v>1467060</v>
      </c>
      <c r="R31" s="1" t="s">
        <v>230</v>
      </c>
    </row>
    <row r="32" spans="1:18" ht="26.25" thickTop="1">
      <c r="E32" s="122"/>
      <c r="Q32" s="124">
        <f>SUM(C21:C28)</f>
        <v>27221103.449999999</v>
      </c>
      <c r="R32" s="1" t="s">
        <v>229</v>
      </c>
    </row>
    <row r="33" spans="1:18" ht="25.5">
      <c r="C33" s="122"/>
      <c r="F33" s="122"/>
      <c r="Q33" s="132">
        <f>+C31</f>
        <v>-550818.84000000358</v>
      </c>
    </row>
    <row r="34" spans="1:18">
      <c r="Q34" s="133">
        <v>4991213.66</v>
      </c>
      <c r="R34" s="1" t="s">
        <v>231</v>
      </c>
    </row>
    <row r="35" spans="1:18">
      <c r="Q35" s="211"/>
    </row>
    <row r="36" spans="1:18">
      <c r="A36" s="80" t="s">
        <v>196</v>
      </c>
      <c r="Q36" s="212">
        <f>+Q33-Q34</f>
        <v>-5542032.5000000037</v>
      </c>
      <c r="R36" s="1" t="s">
        <v>233</v>
      </c>
    </row>
    <row r="38" spans="1:18" ht="24" thickBot="1">
      <c r="A38" s="1" t="s">
        <v>188</v>
      </c>
      <c r="B38" s="1" t="s">
        <v>47</v>
      </c>
      <c r="C38" s="125">
        <f>+C15</f>
        <v>190700</v>
      </c>
      <c r="D38" s="1" t="s">
        <v>189</v>
      </c>
      <c r="E38" s="1" t="s">
        <v>190</v>
      </c>
      <c r="H38" s="1" t="s">
        <v>193</v>
      </c>
      <c r="K38" s="125">
        <f>+C16</f>
        <v>7603360</v>
      </c>
      <c r="L38" s="1" t="s">
        <v>189</v>
      </c>
      <c r="M38" s="1" t="s">
        <v>190</v>
      </c>
    </row>
    <row r="39" spans="1:18" ht="24" thickTop="1"/>
    <row r="40" spans="1:18" ht="24" thickBot="1">
      <c r="B40" s="144" t="s">
        <v>191</v>
      </c>
      <c r="E40" s="125">
        <f>+C38</f>
        <v>190700</v>
      </c>
      <c r="F40" s="1" t="s">
        <v>189</v>
      </c>
      <c r="J40" s="144" t="s">
        <v>191</v>
      </c>
      <c r="M40" s="125">
        <f>+K38-M41</f>
        <v>2061327.5</v>
      </c>
      <c r="N40" s="1" t="s">
        <v>189</v>
      </c>
    </row>
    <row r="41" spans="1:18" ht="24.75" thickTop="1" thickBot="1">
      <c r="B41" s="1" t="s">
        <v>197</v>
      </c>
      <c r="E41" s="123">
        <v>0</v>
      </c>
      <c r="F41" s="1" t="s">
        <v>189</v>
      </c>
      <c r="J41" s="1" t="s">
        <v>197</v>
      </c>
      <c r="M41" s="134">
        <v>5542032.5</v>
      </c>
      <c r="N41" s="1" t="s">
        <v>189</v>
      </c>
    </row>
    <row r="42" spans="1:18" ht="24" thickTop="1"/>
  </sheetData>
  <mergeCells count="7">
    <mergeCell ref="A1:O1"/>
    <mergeCell ref="A2:O2"/>
    <mergeCell ref="A3:O3"/>
    <mergeCell ref="A5:A6"/>
    <mergeCell ref="B5:B6"/>
    <mergeCell ref="C5:C6"/>
    <mergeCell ref="D5:O5"/>
  </mergeCells>
  <pageMargins left="0.38" right="0.31496062992125984" top="0.74803149606299213" bottom="0.24" header="0.31496062992125984" footer="0.1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24</vt:i4>
      </vt:variant>
      <vt:variant>
        <vt:lpstr>ช่วงที่มีชื่อ</vt:lpstr>
      </vt:variant>
      <vt:variant>
        <vt:i4>2</vt:i4>
      </vt:variant>
    </vt:vector>
  </HeadingPairs>
  <TitlesOfParts>
    <vt:vector size="26" baseType="lpstr">
      <vt:lpstr>งบแสดงฐานะการเงิน</vt:lpstr>
      <vt:lpstr>งบทรัพย์สิน</vt:lpstr>
      <vt:lpstr>หมายเหตุ 3</vt:lpstr>
      <vt:lpstr>หมายเหตุ 4</vt:lpstr>
      <vt:lpstr>หมายเหตุ 5</vt:lpstr>
      <vt:lpstr>หมายเหตุ6ลน.เงินทุน</vt:lpstr>
      <vt:lpstr>หมายเหตุ 7.1ท่า</vt:lpstr>
      <vt:lpstr>หมายเหตุ 7.2ท่า </vt:lpstr>
      <vt:lpstr>หมายเหตุ 9ท่า</vt:lpstr>
      <vt:lpstr>รายละเอียดแนบท้ายหมายเหตุ 9</vt:lpstr>
      <vt:lpstr>ตามแผนงาน 1</vt:lpstr>
      <vt:lpstr>ตามแผนงาน 2</vt:lpstr>
      <vt:lpstr>ตามแผนงาน 3</vt:lpstr>
      <vt:lpstr>ตามแผนงาน 4</vt:lpstr>
      <vt:lpstr>ตามแผนงาน 5</vt:lpstr>
      <vt:lpstr>ตามแผนงาน 6</vt:lpstr>
      <vt:lpstr>ตามแผนงาน 7</vt:lpstr>
      <vt:lpstr>ตามแผนงาน 8</vt:lpstr>
      <vt:lpstr>ตามแผนงาน 9</vt:lpstr>
      <vt:lpstr>ตามแผนงาน 10</vt:lpstr>
      <vt:lpstr>ตามแผนงานรวม</vt:lpstr>
      <vt:lpstr>จ่ายจากเงินสะสม</vt:lpstr>
      <vt:lpstr>งบแสดงผลจ่ายจากเงินรายรับ</vt:lpstr>
      <vt:lpstr>งบแสดงผลฯเงินรายรับ เงินสะสม</vt:lpstr>
      <vt:lpstr>'หมายเหตุ 7.1ท่า'!Print_Titles</vt:lpstr>
      <vt:lpstr>'หมายเหตุ 7.2ท่า 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อารียา ปิยะมาสิกุล</dc:creator>
  <cp:lastModifiedBy>pc</cp:lastModifiedBy>
  <cp:lastPrinted>2017-10-31T07:15:00Z</cp:lastPrinted>
  <dcterms:created xsi:type="dcterms:W3CDTF">2015-09-06T08:47:00Z</dcterms:created>
  <dcterms:modified xsi:type="dcterms:W3CDTF">2018-06-25T03:30:09Z</dcterms:modified>
</cp:coreProperties>
</file>